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Laskelmat" sheetId="1" state="visible" r:id="rId2"/>
    <sheet name="Taulukot" sheetId="2" state="visible" r:id="rId3"/>
    <sheet name="Vapaa" sheetId="3" state="visible" r:id="rId4"/>
  </sheets>
  <definedNames>
    <definedName function="false" hidden="false" localSheetId="0" name="_xlnm.Print_Area" vbProcedure="false">Laskelmat!$B$2:$H$226</definedName>
    <definedName function="false" hidden="false" name="Excel_BuiltIn_Print_Area" vbProcedure="false">Laskelmat!$B$2:$H$25</definedName>
    <definedName function="false" hidden="false" name="Excel_BuiltIn_Print_Area_1" vbProcedure="false">Laskelmat!$B$2:$H$16</definedName>
    <definedName function="false" hidden="false" localSheetId="0" name="Excel_BuiltIn_Print_Area" vbProcedure="false">Laskelmat!$B$2:$H$46</definedName>
    <definedName function="false" hidden="false" localSheetId="0" name="_xlnm_Print_Area" vbProcedure="false">Laskelmat!$B$2:$H$167</definedName>
    <definedName function="false" hidden="false" localSheetId="0" name="_xlnm_Print_Area_0" vbProcedure="false">Laskelmat!$B$2:$H$167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8" authorId="0">
      <text>
        <r>
          <rPr>
            <sz val="11"/>
            <color rgb="FF000000"/>
            <rFont val="Calibri"/>
            <family val="2"/>
          </rPr>
          <t xml:space="preserve"> Valitse</t>
        </r>
      </text>
    </comment>
    <comment ref="G51" authorId="0">
      <text>
        <r>
          <rPr>
            <sz val="11"/>
            <color rgb="FF000000"/>
            <rFont val="Calibri"/>
            <family val="2"/>
          </rPr>
          <t xml:space="preserve"> Valitse</t>
        </r>
      </text>
    </comment>
    <comment ref="G74" authorId="0">
      <text>
        <r>
          <rPr>
            <sz val="11"/>
            <color rgb="FF000000"/>
            <rFont val="Calibri"/>
            <family val="2"/>
          </rPr>
          <t xml:space="preserve">Neste etenee putkessa suuremmalla nopeudella putken keskiosassa, kuin reunoilla, josta syystä mitattu kierron aika on liian lyhyt (maalämpöfoorumiin jäsenet ”seppaant” ja ”fraatti”)
Seppaant´in tutkimuksen mukaan hänen tapauksessaan aika oli noin 13 % liian lyhyt. Tällä voit korjata aikavirheen.</t>
        </r>
      </text>
    </comment>
    <comment ref="H27" authorId="0">
      <text>
        <r>
          <rPr>
            <sz val="11"/>
            <color rgb="FF000000"/>
            <rFont val="Calibri"/>
            <family val="2"/>
          </rPr>
          <t xml:space="preserve">Valitse</t>
        </r>
      </text>
    </comment>
  </commentList>
</comments>
</file>

<file path=xl/sharedStrings.xml><?xml version="1.0" encoding="utf-8"?>
<sst xmlns="http://schemas.openxmlformats.org/spreadsheetml/2006/main" count="259" uniqueCount="202">
  <si>
    <t xml:space="preserve">16092017</t>
  </si>
  <si>
    <t xml:space="preserve">LÄMPÖPUMPUN ANTOTEHO JA COP</t>
  </si>
  <si>
    <t xml:space="preserve">Täytä tiedot vihreisiin ruutuihin</t>
  </si>
  <si>
    <t xml:space="preserve">Täytä tiedot</t>
  </si>
  <si>
    <t xml:space="preserve">Laskettu</t>
  </si>
  <si>
    <t xml:space="preserve">Mittauspäivä ja aika</t>
  </si>
  <si>
    <t xml:space="preserve">Lähdön lämpötila</t>
  </si>
  <si>
    <t xml:space="preserve">Paluun lämpötila</t>
  </si>
  <si>
    <t xml:space="preserve">Meno – paluu erotus</t>
  </si>
  <si>
    <t xml:space="preserve">Virtaama (Litraa/sek)</t>
  </si>
  <si>
    <t xml:space="preserve">Valitse yksikkö  →  </t>
  </si>
  <si>
    <t xml:space="preserve">l/s</t>
  </si>
  <si>
    <t xml:space="preserve">- Litraa sekunnissa</t>
  </si>
  <si>
    <t xml:space="preserve">- Litraa minuutissa</t>
  </si>
  <si>
    <t xml:space="preserve">- Litraa tunnissa</t>
  </si>
  <si>
    <r>
      <rPr>
        <b val="true"/>
        <sz val="10"/>
        <color rgb="FF000000"/>
        <rFont val="Calibri"/>
        <family val="2"/>
      </rPr>
      <t xml:space="preserve">Pumpusta tulee lämpötehoa  (P = m * c *</t>
    </r>
    <r>
      <rPr>
        <b val="true"/>
        <sz val="12"/>
        <color rgb="FF000000"/>
        <rFont val="Calibri"/>
        <family val="2"/>
      </rPr>
      <t xml:space="preserve">Δt)</t>
    </r>
  </si>
  <si>
    <t xml:space="preserve">- Lämpöpumpun sähköverkosta ottama teho (kW)</t>
  </si>
  <si>
    <t xml:space="preserve">- Maasta otettu lämpöteho</t>
  </si>
  <si>
    <t xml:space="preserve">Saadaan pumpun COP -arvoksi (COP = Antoteho / Ottoteho )</t>
  </si>
  <si>
    <r>
      <rPr>
        <sz val="10"/>
        <color rgb="FF000000"/>
        <rFont val="Calibri"/>
        <family val="2"/>
      </rPr>
      <t xml:space="preserve">Veden ominaislämpö,</t>
    </r>
    <r>
      <rPr>
        <b val="true"/>
        <sz val="12"/>
        <color rgb="FF000000"/>
        <rFont val="Calibri"/>
        <family val="2"/>
      </rPr>
      <t xml:space="preserve">c</t>
    </r>
    <r>
      <rPr>
        <sz val="12"/>
        <color rgb="FF000000"/>
        <rFont val="Calibri"/>
        <family val="2"/>
      </rPr>
      <t xml:space="preserve">.  KJ/(K·kg) (1Joule, 1J = 1Ws = 1 wattisekunti)</t>
    </r>
  </si>
  <si>
    <t xml:space="preserve">LASKE VIRTAAMA, JOS TIEDÄT TEHON JA LÄMPÖTILAERON</t>
  </si>
  <si>
    <t xml:space="preserve">Lämpöpumpun ulostuloteho ( m = P / (c * Δt))</t>
  </si>
  <si>
    <t xml:space="preserve">Virtaama-arvoksi saadaan (Litraa / sekunnissa)</t>
  </si>
  <si>
    <t xml:space="preserve">LASKE TEHO, KUN TIEDÄT LÄMPÖTILAERON JA VIRTAAMAN</t>
  </si>
  <si>
    <t xml:space="preserve">VALITSE →</t>
  </si>
  <si>
    <t xml:space="preserve">VEDELLE</t>
  </si>
  <si>
    <t xml:space="preserve">Valitse yksikkö! →</t>
  </si>
  <si>
    <t xml:space="preserve">Litraa / minuutti</t>
  </si>
  <si>
    <t xml:space="preserve">Virtaaman lämpöteho on (P = m * c * Δt)</t>
  </si>
  <si>
    <t xml:space="preserve">LASKE LÄMPÖTEHO VEDESSÄ JA SEN  LÄMMITTÄMISEEN KULUVA AIKA</t>
  </si>
  <si>
    <t xml:space="preserve">Vesimäärän alkulämpötila</t>
  </si>
  <si>
    <t xml:space="preserve">Vesimäärän loppulämpötila</t>
  </si>
  <si>
    <t xml:space="preserve">MUUTOS</t>
  </si>
  <si>
    <t xml:space="preserve">Vesimäärä litraa, ( tässä 1 litra = 1 kilo )</t>
  </si>
  <si>
    <t xml:space="preserve">Veden ominaislämpökapasiteetti kJ/(K·kg)</t>
  </si>
  <si>
    <t xml:space="preserve">- Lämpömäärä wattisekunteja</t>
  </si>
  <si>
    <t xml:space="preserve">- sekunteja  tunnissa (60 * 60 = 3600)</t>
  </si>
  <si>
    <t xml:space="preserve">Lämpömäärä wattituntia, saatiin jakamalla Ws määrä 3600:lla!</t>
  </si>
  <si>
    <t xml:space="preserve">Muunnetaan kilowattitunneiksi jakamalla</t>
  </si>
  <si>
    <t xml:space="preserve">Anna lämmitysteho, kilowattia. Saat lämmitysajan</t>
  </si>
  <si>
    <t xml:space="preserve">Vesi</t>
  </si>
  <si>
    <t xml:space="preserve">LASKE  LÄMPÖPUMPUN  TARVITSEMA  MAANESTEEN  KIERTONOPEUS, laskee 0 -asteiselle nesteelle.</t>
  </si>
  <si>
    <t xml:space="preserve">- Lämpöpumpun tuottama lämmitysteho kilowattia</t>
  </si>
  <si>
    <t xml:space="preserve">- Maasta otetaan ilmaistehoa kilowattia,  kW,   Ws (=Joulea)</t>
  </si>
  <si>
    <t xml:space="preserve">- Pumpun ottama käyttösähkön teho (= ostosähkö)</t>
  </si>
  <si>
    <t xml:space="preserve">- Lämpöpumpun COP</t>
  </si>
  <si>
    <t xml:space="preserve">- Haluttu maasta tulevan ja sinne palaavan kiertonesteen lämpötilaero,  ∆t  -astetta</t>
  </si>
  <si>
    <t xml:space="preserve">- Tarvittava virtausnopeus, valitse neste</t>
  </si>
  <si>
    <t xml:space="preserve">Naturet 17</t>
  </si>
  <si>
    <t xml:space="preserve">LASKE  lämpkaivon syvyys, jos tiedät maakiertopumpun massavirtausnopeuden  litroina sekunnissa.  Tulos ei ole tarkka!</t>
  </si>
  <si>
    <t xml:space="preserve">- Keruuputken ulkoläpimitta (esimerkiksi 40 x 2,4)</t>
  </si>
  <si>
    <t xml:space="preserve">- Keruuputken seinämän paksuus</t>
  </si>
  <si>
    <t xml:space="preserve">- Maakiertonesteen lämpötilagraafista mitattu kesto</t>
  </si>
  <si>
    <t xml:space="preserve">- Korjataan virtauksen laminaarisuudesta johtuvaa virhettä,  aikavirhettä (oletus 13 %)</t>
  </si>
  <si>
    <t xml:space="preserve">- Maakierron korjattu kiertonopeus</t>
  </si>
  <si>
    <t xml:space="preserve">- Kiertopumpun aikaansaama massavirtausnopeus litraa sekunnissa</t>
  </si>
  <si>
    <t xml:space="preserve">- Etäisyys lämpöpumpulta porakaivolle</t>
  </si>
  <si>
    <t xml:space="preserve">- Tuossa putkessa on liuosta metrin putkessa ja kokonaistilavuus</t>
  </si>
  <si>
    <t xml:space="preserve">- Porakaivon syvyys on</t>
  </si>
  <si>
    <t xml:space="preserve">LASKE LÄMPÖTEHO  BETONILAATASSA  JA SEN  LÄMMITTÄMISEEN KULUVA AIKA</t>
  </si>
  <si>
    <t xml:space="preserve">Δ</t>
  </si>
  <si>
    <t xml:space="preserve">Betonilaatan:  Pituus  →</t>
  </si>
  <si>
    <t xml:space="preserve">Leveys  →</t>
  </si>
  <si>
    <t xml:space="preserve">Paksuus  →</t>
  </si>
  <si>
    <t xml:space="preserve">Betonilaatan ominaislämpökapasiteetti (tyypillinen  = 0,75 kJ/(K·kg)</t>
  </si>
  <si>
    <t xml:space="preserve">Teräsbetonin tiheysi (tyypillinen  = n.2,5 kg/dm3)</t>
  </si>
  <si>
    <t xml:space="preserve">Laskemasi betoni painaa noin</t>
  </si>
  <si>
    <t xml:space="preserve">Betonin alkulämpötila</t>
  </si>
  <si>
    <t xml:space="preserve">Betonin loppulämpötila</t>
  </si>
  <si>
    <t xml:space="preserve">LÄMPÖTILAN  MUUTOS</t>
  </si>
  <si>
    <t xml:space="preserve">LÄMPÖENERGIAN MÄÄRÄ</t>
  </si>
  <si>
    <t xml:space="preserve">Yllä laskettu lämpökapasiteetti vastaa vesimäärä litroina, ( tässä 1 litra = 1 kilo )</t>
  </si>
  <si>
    <t xml:space="preserve">LASKE PUTKEN TAI LIERIÖN TILAVUUS</t>
  </si>
  <si>
    <t xml:space="preserve">Putken (lieriön) sisähalkaisija millimetreinä</t>
  </si>
  <si>
    <t xml:space="preserve">Putken (lieriön) pituus metreinä</t>
  </si>
  <si>
    <t xml:space="preserve">Putken poikkileikkauksen pinta-ala neliömillimetreinä</t>
  </si>
  <si>
    <t xml:space="preserve">Putken poikkileikkauksen pinta-ala neliösenttimetreinä</t>
  </si>
  <si>
    <t xml:space="preserve">Putken poikkileikkauksen pinta-ala neliödesimetreinä</t>
  </si>
  <si>
    <r>
      <rPr>
        <sz val="10"/>
        <color rgb="FF000000"/>
        <rFont val="Calibri"/>
        <family val="2"/>
      </rPr>
      <t xml:space="preserve">Putken tilavuus kuutiosentteinä cm3 (1cm</t>
    </r>
    <r>
      <rPr>
        <vertAlign val="superscript"/>
        <sz val="10"/>
        <color rgb="FF000000"/>
        <rFont val="Calibri"/>
        <family val="2"/>
      </rPr>
      <t xml:space="preserve">3</t>
    </r>
    <r>
      <rPr>
        <sz val="10"/>
        <color rgb="FF000000"/>
        <rFont val="Calibri"/>
        <family val="2"/>
      </rPr>
      <t xml:space="preserve">= 1millilitra, ml)</t>
    </r>
  </si>
  <si>
    <r>
      <rPr>
        <b val="true"/>
        <sz val="10"/>
        <color rgb="FF000000"/>
        <rFont val="Calibri"/>
        <family val="2"/>
      </rPr>
      <t xml:space="preserve">Putken tilavuus litroina  (1 litra, l = 1 kuutiodesimetri, dm</t>
    </r>
    <r>
      <rPr>
        <b val="true"/>
        <vertAlign val="superscript"/>
        <sz val="12"/>
        <color rgb="FF000000"/>
        <rFont val="Calibri"/>
        <family val="2"/>
      </rPr>
      <t xml:space="preserve">3</t>
    </r>
    <r>
      <rPr>
        <b val="true"/>
        <sz val="12"/>
        <color rgb="FF000000"/>
        <rFont val="Calibri"/>
        <family val="2"/>
      </rPr>
      <t xml:space="preserve">)</t>
    </r>
  </si>
  <si>
    <t xml:space="preserve">LASKE LÄMPIMÄN KÄYTTÖVEDEN RIITTÄVYYS  ( Käytä vain + asteita! )</t>
  </si>
  <si>
    <t xml:space="preserve">Kuumavesivaraajan alkulämpötila Celsius asteina</t>
  </si>
  <si>
    <t xml:space="preserve">Haluttu kylpyveden lämpötila Celsius asteina</t>
  </si>
  <si>
    <t xml:space="preserve">Laske maalämmityksen vaakakeruupiirin tarvitsema tila</t>
  </si>
  <si>
    <t xml:space="preserve">Anna tarvittava keruupiirin pituus</t>
  </si>
  <si>
    <t xml:space="preserve">Anna pumpun sallima suurin yhden lenkin pituus</t>
  </si>
  <si>
    <t xml:space="preserve">Tarvittava keruupiirien lukumäärä</t>
  </si>
  <si>
    <t xml:space="preserve">Kunkin keruupiirin pituus</t>
  </si>
  <si>
    <t xml:space="preserve">Käytettävissä olevan alueen pituus</t>
  </si>
  <si>
    <t xml:space="preserve">Putkien etäisyys toisistaan</t>
  </si>
  <si>
    <t xml:space="preserve">Lenkkejä</t>
  </si>
  <si>
    <t xml:space="preserve">Alueen pituus</t>
  </si>
  <si>
    <t xml:space="preserve">Alueen leveys</t>
  </si>
  <si>
    <t xml:space="preserve">Ala</t>
  </si>
  <si>
    <t xml:space="preserve">Yhteensä</t>
  </si>
  <si>
    <t xml:space="preserve">LASKE LÄMPÖPUMPUN TEHO JA PORAKAIVON AKTIIVISYVYYS.  * ON VAIN SUUNTAA ANTAVA *</t>
  </si>
  <si>
    <t xml:space="preserve">Mitoituslaskennan kevytversio.         **  HUOMAA:  Tulos on vain suuntaa antava! **</t>
  </si>
  <si>
    <t xml:space="preserve">Anna vuotuinen lämmitysöljyn kulutus</t>
  </si>
  <si>
    <t xml:space="preserve">Anna vuotuinen lämmitykseen käytetyn polttopuun kulutus</t>
  </si>
  <si>
    <t xml:space="preserve">Anna vuotuinen lämmitykseen käytetyn sähkön kulutus</t>
  </si>
  <si>
    <t xml:space="preserve">VALITSE</t>
  </si>
  <si>
    <t xml:space="preserve">Lämmitystarveluvut</t>
  </si>
  <si>
    <t xml:space="preserve">Lämpöpumpun</t>
  </si>
  <si>
    <t xml:space="preserve">Patteritalo</t>
  </si>
  <si>
    <t xml:space="preserve">Lattialämpö</t>
  </si>
  <si>
    <t xml:space="preserve">paikkakunta</t>
  </si>
  <si>
    <t xml:space="preserve">Tammikuu</t>
  </si>
  <si>
    <t xml:space="preserve">Koko vuosi</t>
  </si>
  <si>
    <t xml:space="preserve">Porakaivon</t>
  </si>
  <si>
    <t xml:space="preserve">antoteho</t>
  </si>
  <si>
    <t xml:space="preserve">syvyys</t>
  </si>
  <si>
    <t xml:space="preserve">Kallion lämpötila</t>
  </si>
  <si>
    <t xml:space="preserve">Jyväskylä</t>
  </si>
  <si>
    <t xml:space="preserve">Helsinki</t>
  </si>
  <si>
    <t xml:space="preserve">Hämeenlinna</t>
  </si>
  <si>
    <t xml:space="preserve">Iisalmi</t>
  </si>
  <si>
    <t xml:space="preserve">Ilomantsi</t>
  </si>
  <si>
    <t xml:space="preserve">Ivalo</t>
  </si>
  <si>
    <t xml:space="preserve">Joensuu</t>
  </si>
  <si>
    <t xml:space="preserve">Kajaani</t>
  </si>
  <si>
    <t xml:space="preserve">Kemi</t>
  </si>
  <si>
    <t xml:space="preserve">Kokkola</t>
  </si>
  <si>
    <t xml:space="preserve">Kotka</t>
  </si>
  <si>
    <t xml:space="preserve">Kouvola</t>
  </si>
  <si>
    <t xml:space="preserve">Kristiinankaupunki</t>
  </si>
  <si>
    <t xml:space="preserve">Kuopio</t>
  </si>
  <si>
    <t xml:space="preserve">Lahti</t>
  </si>
  <si>
    <t xml:space="preserve">Lappeenranta</t>
  </si>
  <si>
    <t xml:space="preserve">Maarianhamina</t>
  </si>
  <si>
    <t xml:space="preserve">Oulu</t>
  </si>
  <si>
    <t xml:space="preserve">Pori</t>
  </si>
  <si>
    <t xml:space="preserve">Rovaniemi</t>
  </si>
  <si>
    <t xml:space="preserve">Seinäjoki</t>
  </si>
  <si>
    <t xml:space="preserve">Sodankylä</t>
  </si>
  <si>
    <t xml:space="preserve">Tampere</t>
  </si>
  <si>
    <t xml:space="preserve">Turku</t>
  </si>
  <si>
    <t xml:space="preserve">Vaasa</t>
  </si>
  <si>
    <t xml:space="preserve">Vantaa</t>
  </si>
  <si>
    <t xml:space="preserve">Ylivieska</t>
  </si>
  <si>
    <t xml:space="preserve">Muunnistaulukko</t>
  </si>
  <si>
    <t xml:space="preserve">Litraa / sekunti</t>
  </si>
  <si>
    <t xml:space="preserve">Litraa / tunti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</si>
  <si>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</si>
  <si>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</si>
  <si>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</si>
  <si>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</si>
  <si>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</si>
  <si>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</si>
  <si>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</si>
  <si>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</si>
  <si>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</si>
  <si>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</si>
  <si>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</si>
  <si>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</si>
  <si>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Vuosi</t>
  </si>
  <si>
    <t xml:space="preserve">Hamina</t>
  </si>
  <si>
    <t xml:space="preserve">Kuusamo</t>
  </si>
  <si>
    <t xml:space="preserve">Loviisa</t>
  </si>
  <si>
    <t xml:space="preserve">Mikkeli</t>
  </si>
  <si>
    <t xml:space="preserve">Nurmes</t>
  </si>
  <si>
    <t xml:space="preserve">Pello</t>
  </si>
  <si>
    <t xml:space="preserve">Pieksämäki</t>
  </si>
  <si>
    <t xml:space="preserve">Puolanka</t>
  </si>
  <si>
    <t xml:space="preserve">Raahe</t>
  </si>
  <si>
    <t xml:space="preserve">Raasepori</t>
  </si>
  <si>
    <t xml:space="preserve">Ruovesi</t>
  </si>
  <si>
    <t xml:space="preserve">Savonlinna</t>
  </si>
  <si>
    <t xml:space="preserve">Tornio</t>
  </si>
  <si>
    <t xml:space="preserve">Varkaus</t>
  </si>
  <si>
    <t xml:space="preserve">Viitasaari</t>
  </si>
  <si>
    <t xml:space="preserve">Huomaa, että lämmityskausi on pohjoisessa vähän pidempi.
Siksi sama kWh -arvo antaa pohjoiseen hiukan pienemmän kW -tehon, kuin etelään.</t>
  </si>
  <si>
    <t xml:space="preserve">Vesi: 
Ominaislämpökapasiteetti: neste 4 186 J/(K·kg) = 4,186 kJ/(K*kg), kiinteä (jää 0°C) 2 060 J/(K·kg) 
Sulaminen, lämpöenergia: 333 kJ/kg (0°C). 
Höyrystyminen, lämpöenergia: 2 260 kJ/kg (100°C). 
Tiheys: @ 4°C 1 000 kg/m3 = 1,000 kg/l = 1,000 g/cm3.  
Muissa lämpötiloissa veden tiheys on pienempi.</t>
  </si>
  <si>
    <t xml:space="preserve">0 -asteinen Naturett -17 liuos</t>
  </si>
  <si>
    <t xml:space="preserve">- Naturett -17 ominaislämpökapasiteetti kiloa kohden</t>
  </si>
  <si>
    <t xml:space="preserve">- Naturett -17 litrapaino</t>
  </si>
  <si>
    <t xml:space="preserve">- Naturett -17 ominaislämpökapasiteetti litraa kohden</t>
  </si>
  <si>
    <t xml:space="preserve">- Maakierron meno ja paluulämpötilojen erotus</t>
  </si>
  <si>
    <t xml:space="preserve">Pumppu</t>
  </si>
  <si>
    <t xml:space="preserve">Lämpötila</t>
  </si>
  <si>
    <t xml:space="preserve">Tiheys</t>
  </si>
  <si>
    <t xml:space="preserve">Lämpö</t>
  </si>
  <si>
    <t xml:space="preserve">astetta</t>
  </si>
  <si>
    <t xml:space="preserve">kg/m 3</t>
  </si>
  <si>
    <t xml:space="preserve">kJ/kgxC</t>
  </si>
  <si>
    <t xml:space="preserve">kJ/m3 K</t>
  </si>
  <si>
    <t xml:space="preserve">J/kgK</t>
  </si>
  <si>
    <t xml:space="preserve">Basaltti</t>
  </si>
  <si>
    <t xml:space="preserve">Betoni</t>
  </si>
  <si>
    <t xml:space="preserve">Graniitti</t>
  </si>
  <si>
    <t xml:space="preserve">Hiekka, kuiva</t>
  </si>
  <si>
    <t xml:space="preserve">Ilma</t>
  </si>
  <si>
    <t xml:space="preserve">Jää</t>
  </si>
  <si>
    <t xml:space="preserve">Kvartsi</t>
  </si>
  <si>
    <t xml:space="preserve">Maaviina 28%</t>
  </si>
  <si>
    <t xml:space="preserve">Sora, kuiva</t>
  </si>
  <si>
    <t xml:space="preserve">l/h</t>
  </si>
  <si>
    <t xml:space="preserve">litraa tunnissa</t>
  </si>
  <si>
    <t xml:space="preserve">l/min</t>
  </si>
  <si>
    <t xml:space="preserve">litraa minuutissa</t>
  </si>
  <si>
    <t xml:space="preserve">litraa sekunnissa</t>
  </si>
  <si>
    <t xml:space="preserve">m3/h</t>
  </si>
  <si>
    <t xml:space="preserve">kuutiota tunnissa</t>
  </si>
</sst>
</file>

<file path=xl/styles.xml><?xml version="1.0" encoding="utf-8"?>
<styleSheet xmlns="http://schemas.openxmlformats.org/spreadsheetml/2006/main">
  <numFmts count="61">
    <numFmt numFmtId="164" formatCode="General"/>
    <numFmt numFmtId="165" formatCode="#,##0.00\ [$€-40B];[RED]\-#,##0.00\ [$€-40B]"/>
    <numFmt numFmtId="166" formatCode="@"/>
    <numFmt numFmtId="167" formatCode="#,##0.0&quot; C&quot;;[RED]\-#,##0.0&quot; C&quot;"/>
    <numFmt numFmtId="168" formatCode="General"/>
    <numFmt numFmtId="169" formatCode="#,##0.000;[RED]\-#,##0.000"/>
    <numFmt numFmtId="170" formatCode="#,##0.0;[RED]\-#,##0.0"/>
    <numFmt numFmtId="171" formatCode="#,##0.00&quot; l/s&quot;;[RED]\-#,##0.00&quot; l/s&quot;"/>
    <numFmt numFmtId="172" formatCode="#,##0.0&quot; l/min&quot;;[RED]\-#,##0.0&quot; l/min&quot;"/>
    <numFmt numFmtId="173" formatCode="#,##0&quot; l/h&quot;;[RED]\-#,##0&quot; l/h&quot;"/>
    <numFmt numFmtId="174" formatCode="#,##0.00&quot; kW&quot;;[RED]\-#,##0.00&quot; kW&quot;"/>
    <numFmt numFmtId="175" formatCode="#,##0.00&quot; COP&quot;;[RED]\-#,##0.00&quot; COP&quot;"/>
    <numFmt numFmtId="176" formatCode="#,##0.000&quot; kJ/kg&quot;;[RED]\-#,##0.000&quot; kJ/kg&quot;"/>
    <numFmt numFmtId="177" formatCode="#,##0.00;[RED]\-#,##0.00"/>
    <numFmt numFmtId="178" formatCode="#,##0&quot; s&quot;;[RED]\-#,##0&quot; s&quot;"/>
    <numFmt numFmtId="179" formatCode="#,##0.000&quot; l/s&quot;;[RED]\-#,##0.000&quot; l/s&quot;"/>
    <numFmt numFmtId="180" formatCode="#,##0.00&quot; l/min&quot;;[RED]\-#,##0.00&quot; l/min&quot;"/>
    <numFmt numFmtId="181" formatCode="#,##0.000&quot; kW&quot;;[RED]\-#,##0.000&quot; kW&quot;"/>
    <numFmt numFmtId="182" formatCode="#,##0.0&quot; ltr&quot;;[RED]\-#,##0.0&quot; ltr&quot;"/>
    <numFmt numFmtId="183" formatCode="#,##0.00&quot; kg&quot;;[RED]\-#,##0.00&quot; kg&quot;"/>
    <numFmt numFmtId="184" formatCode="#,##0&quot; Ws&quot;;[RED]\-#,##0&quot; Ws&quot;"/>
    <numFmt numFmtId="185" formatCode="#,##0;\-#,##0"/>
    <numFmt numFmtId="186" formatCode="#,##0.00&quot; Wh&quot;;[RED]\-#,##0.00&quot; Wh&quot;"/>
    <numFmt numFmtId="187" formatCode="#,##0.000&quot; kWh&quot;;[RED]\-#,##0.000&quot; kWh&quot;"/>
    <numFmt numFmtId="188" formatCode="#,##0.000&quot; tuntia&quot;;[RED]\-#,##0.000&quot; tuntia&quot;"/>
    <numFmt numFmtId="189" formatCode="#,##0.000&quot; minuuttia&quot;;[RED]\-#,##0.000&quot; minuuttia&quot;"/>
    <numFmt numFmtId="190" formatCode="#,##0&quot; kJ/m3&quot;;[RED]\-#,##0&quot; kJ/m3&quot;"/>
    <numFmt numFmtId="191" formatCode="#,##0.000&quot; m3&quot;;[RED]\-#,##0.000&quot; m3&quot;"/>
    <numFmt numFmtId="192" formatCode="#,##0.00&quot; K&quot;;[RED]\-#,##0.00&quot; K&quot;"/>
    <numFmt numFmtId="193" formatCode="#,##0&quot; litraa/h&quot;;[RED]\-#,##0&quot; litraa/h&quot;"/>
    <numFmt numFmtId="194" formatCode="#,##0.0&quot; mm&quot;;[RED]\-#,##0.0&quot; mm&quot;"/>
    <numFmt numFmtId="195" formatCode="#,##0&quot; min&quot;;[RED]\-#,##0&quot; min&quot;"/>
    <numFmt numFmtId="196" formatCode="#,##0&quot; sek&quot;;[RED]\-#,##0&quot; sek&quot;"/>
    <numFmt numFmtId="197" formatCode="0%"/>
    <numFmt numFmtId="198" formatCode="#,##0&quot; m&quot;;[RED]\-#,##0&quot; m&quot;"/>
    <numFmt numFmtId="199" formatCode="#,##0.00&quot; ltr&quot;;[RED]\-#,##0.00&quot; ltr&quot;"/>
    <numFmt numFmtId="200" formatCode="#,##0.00&quot; m&quot;;[RED]\-#,##0.00&quot; m&quot;"/>
    <numFmt numFmtId="201" formatCode="#,##0.00&quot; m3&quot;;[RED]\-#,##0.00&quot; m3&quot;"/>
    <numFmt numFmtId="202" formatCode="#,##0.0&quot; COP&quot;;[RED]\-#,##0.0&quot; COP&quot;"/>
    <numFmt numFmtId="203" formatCode="0.00"/>
    <numFmt numFmtId="204" formatCode="#,##0.0&quot; mm2&quot;;[RED]\-#,##0.0&quot; mm2&quot;"/>
    <numFmt numFmtId="205" formatCode="#,##0.00&quot; cm2&quot;;[RED]\-#,##0.00&quot; cm2&quot;"/>
    <numFmt numFmtId="206" formatCode="#,##0.00&quot; dm2&quot;;[RED]\-#,##0.00&quot; dm2&quot;"/>
    <numFmt numFmtId="207" formatCode="#,##0.0&quot; cm3&quot;;[RED]\-#,##0.0&quot; cm3&quot;"/>
    <numFmt numFmtId="208" formatCode="#,##0.00&quot; l&quot;;[RED]\-#,##0.00&quot; l&quot;"/>
    <numFmt numFmtId="209" formatCode="#,##0&quot; litraa&quot;;[RED]\-#,##0&quot; litraa&quot;"/>
    <numFmt numFmtId="210" formatCode="#,##0&quot; kJ&quot;;[RED]\-#,##0&quot; kJ&quot;"/>
    <numFmt numFmtId="211" formatCode="#,##0&quot; C&quot;;[RED]\-#,##0&quot; C&quot;"/>
    <numFmt numFmtId="212" formatCode="0.000"/>
    <numFmt numFmtId="213" formatCode="0&quot; piiriä&quot;"/>
    <numFmt numFmtId="214" formatCode="#,##0&quot; cm&quot;;[RED]\-#,##0&quot; cm&quot;"/>
    <numFmt numFmtId="215" formatCode="0&quot; kpl&quot;"/>
    <numFmt numFmtId="216" formatCode="#,##0&quot; m2&quot;;[RED]\-#,##0&quot; m2&quot;"/>
    <numFmt numFmtId="217" formatCode="#,##0&quot; kWh&quot;;[RED]\-#,##0&quot; kWh&quot;"/>
    <numFmt numFmtId="218" formatCode="#,##0"/>
    <numFmt numFmtId="219" formatCode="#,##0.0&quot; m3&quot;;[RED]\-#,##0.0&quot; m3&quot;"/>
    <numFmt numFmtId="220" formatCode="#,##0.00&quot; W/mK&quot;;[RED]\-#,##0.00&quot; W/mK&quot;"/>
    <numFmt numFmtId="221" formatCode="#,##0.0&quot; kW&quot;;[RED]\-#,##0.0&quot; kW&quot;"/>
    <numFmt numFmtId="222" formatCode="#,##0.0&quot; X&quot;;[RED]\-#,##0.0&quot; X&quot;"/>
    <numFmt numFmtId="223" formatCode="#,##0.000&quot; kJ/l&quot;;[RED]\-#,##0.000&quot; kJ/l&quot;"/>
    <numFmt numFmtId="224" formatCode="#,##0&quot; kW&quot;;[RED]\-#,##0&quot; kW&quot;"/>
  </numFmts>
  <fonts count="2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sz val="9"/>
      <color rgb="FF000000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B3B3B3"/>
      <name val="Calibri"/>
      <family val="2"/>
    </font>
    <font>
      <b val="true"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CCCCCC"/>
      <name val="Calibri"/>
      <family val="2"/>
    </font>
    <font>
      <b val="true"/>
      <sz val="14"/>
      <color rgb="FF000000"/>
      <name val="Calibri"/>
      <family val="2"/>
    </font>
    <font>
      <sz val="11"/>
      <color rgb="FFCCCCCC"/>
      <name val="Calibri"/>
      <family val="2"/>
    </font>
    <font>
      <sz val="11"/>
      <color rgb="FF000000"/>
      <name val="Ubuntu"/>
      <family val="0"/>
    </font>
    <font>
      <vertAlign val="superscript"/>
      <sz val="10"/>
      <color rgb="FF000000"/>
      <name val="Calibri"/>
      <family val="2"/>
    </font>
    <font>
      <b val="true"/>
      <vertAlign val="superscript"/>
      <sz val="12"/>
      <color rgb="FF000000"/>
      <name val="Calibri"/>
      <family val="2"/>
    </font>
    <font>
      <sz val="10"/>
      <name val="Calibri"/>
      <family val="2"/>
    </font>
    <font>
      <b val="true"/>
      <sz val="11"/>
      <color rgb="FF000000"/>
      <name val="Calibri"/>
      <family val="2"/>
    </font>
    <font>
      <sz val="10"/>
      <color rgb="FFFFFFCC"/>
      <name val="Calibri"/>
      <family val="2"/>
    </font>
    <font>
      <sz val="11"/>
      <color rgb="FFFFCC99"/>
      <name val="Calibri"/>
      <family val="2"/>
    </font>
    <font>
      <sz val="10"/>
      <color rgb="FFFFCC9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9966"/>
        <bgColor rgb="FFFF99CC"/>
      </patternFill>
    </fill>
    <fill>
      <patternFill patternType="solid">
        <fgColor rgb="FF00FF00"/>
        <bgColor rgb="FF23FF23"/>
      </patternFill>
    </fill>
    <fill>
      <patternFill patternType="solid">
        <fgColor rgb="FFFFCC99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00"/>
        <bgColor rgb="FFAECF00"/>
      </patternFill>
    </fill>
    <fill>
      <patternFill patternType="solid">
        <fgColor rgb="FFFFFF99"/>
        <bgColor rgb="FFFFFFCC"/>
      </patternFill>
    </fill>
    <fill>
      <patternFill patternType="solid">
        <fgColor rgb="FFAECF00"/>
        <bgColor rgb="FFCCCC00"/>
      </patternFill>
    </fill>
    <fill>
      <patternFill patternType="solid">
        <fgColor rgb="FFFFFF00"/>
        <bgColor rgb="FFFFFF66"/>
      </patternFill>
    </fill>
    <fill>
      <patternFill patternType="solid">
        <fgColor rgb="FFFFFF66"/>
        <bgColor rgb="FFFFFF99"/>
      </patternFill>
    </fill>
    <fill>
      <patternFill patternType="solid">
        <fgColor rgb="FF23FF23"/>
        <bgColor rgb="FF00FF00"/>
      </patternFill>
    </fill>
    <fill>
      <patternFill patternType="solid">
        <fgColor rgb="FFE6E6E6"/>
        <bgColor rgb="FFFFFF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6" fontId="5" fillId="2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7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7" fillId="6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6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6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0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3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4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74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7" fillId="6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5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7" borderId="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1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3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1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7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1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7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8" fontId="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9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0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1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7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82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3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4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5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7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7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8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9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0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1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5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6" fillId="11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8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1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7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5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5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2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2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9" fontId="0" fillId="7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9" fontId="6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11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93" fontId="10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4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5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6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7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7" fillId="6" borderId="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96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1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8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98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9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8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general" vertical="center" textRotation="0" wrapText="false" indent="0" shrinkToFit="false"/>
      <protection locked="false" hidden="tru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200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01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2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92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203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0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12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7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6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82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6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9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8" fontId="6" fillId="11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9" fontId="6" fillId="11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04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5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6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7" fontId="7" fillId="7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9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8" fontId="6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true"/>
    </xf>
    <xf numFmtId="209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9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10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1" fontId="7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2" fontId="8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7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209" fontId="7" fillId="9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209" fontId="7" fillId="12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6" fillId="12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09" fontId="6" fillId="12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98" fontId="7" fillId="13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21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7" fillId="6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3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3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8" fontId="8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09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214" fontId="7" fillId="13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7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5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8" fontId="7" fillId="7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6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98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6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09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217" fontId="7" fillId="7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18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9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7" fontId="7" fillId="4" borderId="1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7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1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10" fontId="0" fillId="0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7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20" fontId="2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1" fillId="5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221" fontId="2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217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8" fontId="6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221" fontId="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11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6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221" fontId="7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6" fillId="14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98" fontId="7" fillId="1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1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22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11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8" fillId="2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5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202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76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221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3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8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79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23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92" fontId="0" fillId="4" borderId="1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7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02" fontId="0" fillId="14" borderId="9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02" fontId="0" fillId="14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6" borderId="1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224" fontId="0" fillId="6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14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24" fontId="0" fillId="6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9" fontId="0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211" fontId="0" fillId="0" borderId="2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211" fontId="0" fillId="0" borderId="2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7" fontId="0" fillId="0" borderId="2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2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9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E6E6E6"/>
      <rgbColor rgb="FF660066"/>
      <rgbColor rgb="FFFF9966"/>
      <rgbColor rgb="FF0066CC"/>
      <rgbColor rgb="FFCCCCF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FF23"/>
      <rgbColor rgb="FFAECF00"/>
      <rgbColor rgb="FFCC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791640</xdr:colOff>
      <xdr:row>112</xdr:row>
      <xdr:rowOff>204120</xdr:rowOff>
    </xdr:from>
    <xdr:to>
      <xdr:col>16</xdr:col>
      <xdr:colOff>680760</xdr:colOff>
      <xdr:row>130</xdr:row>
      <xdr:rowOff>19080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1193480" y="23429160"/>
          <a:ext cx="6995520" cy="3700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2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19" activeCellId="0" sqref="J19"/>
    </sheetView>
  </sheetViews>
  <sheetFormatPr defaultColWidth="9.14453125" defaultRowHeight="13.8" zeroHeight="false" outlineLevelRow="0" outlineLevelCol="0"/>
  <cols>
    <col collapsed="false" customWidth="true" hidden="false" outlineLevel="0" max="1" min="1" style="1" width="2.94"/>
    <col collapsed="false" customWidth="true" hidden="false" outlineLevel="0" max="2" min="2" style="2" width="19.92"/>
    <col collapsed="false" customWidth="true" hidden="false" outlineLevel="0" max="7" min="3" style="2" width="13.34"/>
    <col collapsed="false" customWidth="true" hidden="false" outlineLevel="0" max="8" min="8" style="2" width="17.17"/>
    <col collapsed="false" customWidth="true" hidden="false" outlineLevel="0" max="9" min="9" style="3" width="10.28"/>
    <col collapsed="false" customWidth="true" hidden="false" outlineLevel="0" max="13" min="10" style="3" width="10.65"/>
    <col collapsed="false" customWidth="true" hidden="false" outlineLevel="0" max="14" min="14" style="1" width="15.18"/>
    <col collapsed="false" customWidth="true" hidden="false" outlineLevel="0" max="15" min="15" style="1" width="12.12"/>
    <col collapsed="false" customWidth="true" hidden="false" outlineLevel="0" max="16" min="16" style="1" width="10.03"/>
    <col collapsed="false" customWidth="true" hidden="false" outlineLevel="0" max="17" min="17" style="1" width="10.4"/>
    <col collapsed="false" customWidth="false" hidden="false" outlineLevel="0" max="64" min="18" style="1" width="9.18"/>
  </cols>
  <sheetData>
    <row r="1" customFormat="false" ht="13.8" hidden="false" customHeight="true" outlineLevel="0" collapsed="false">
      <c r="A1" s="4"/>
      <c r="B1" s="5" t="s">
        <v>0</v>
      </c>
      <c r="C1" s="4"/>
      <c r="D1" s="4"/>
      <c r="E1" s="4"/>
      <c r="F1" s="4"/>
      <c r="G1" s="4"/>
      <c r="H1" s="4"/>
      <c r="I1" s="6"/>
      <c r="J1" s="1"/>
      <c r="K1" s="1"/>
      <c r="L1" s="1"/>
      <c r="M1" s="1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customFormat="false" ht="21.3" hidden="false" customHeight="true" outlineLevel="0" collapsed="false">
      <c r="A2" s="4"/>
      <c r="B2" s="8" t="s">
        <v>1</v>
      </c>
      <c r="C2" s="8"/>
      <c r="D2" s="8"/>
      <c r="E2" s="8"/>
      <c r="F2" s="8"/>
      <c r="G2" s="8"/>
      <c r="H2" s="8"/>
      <c r="I2" s="6"/>
      <c r="J2" s="1"/>
      <c r="K2" s="1"/>
      <c r="L2" s="1"/>
      <c r="M2" s="1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customFormat="false" ht="17" hidden="false" customHeight="true" outlineLevel="0" collapsed="false">
      <c r="A3" s="4"/>
      <c r="B3" s="9" t="s">
        <v>2</v>
      </c>
      <c r="C3" s="9"/>
      <c r="D3" s="9"/>
      <c r="E3" s="9"/>
      <c r="F3" s="9"/>
      <c r="G3" s="10" t="s">
        <v>3</v>
      </c>
      <c r="H3" s="10" t="s">
        <v>4</v>
      </c>
      <c r="I3" s="6"/>
      <c r="J3" s="1"/>
      <c r="K3" s="1"/>
      <c r="L3" s="1"/>
      <c r="M3" s="1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</row>
    <row r="4" customFormat="false" ht="17" hidden="false" customHeight="true" outlineLevel="0" collapsed="false">
      <c r="A4" s="4"/>
      <c r="B4" s="11" t="s">
        <v>5</v>
      </c>
      <c r="C4" s="11"/>
      <c r="D4" s="11"/>
      <c r="E4" s="11"/>
      <c r="F4" s="11"/>
      <c r="G4" s="12"/>
      <c r="H4" s="12"/>
      <c r="I4" s="6"/>
      <c r="J4" s="1"/>
      <c r="K4" s="1"/>
      <c r="L4" s="1"/>
      <c r="M4" s="1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customFormat="false" ht="17" hidden="false" customHeight="true" outlineLevel="0" collapsed="false">
      <c r="A5" s="4"/>
      <c r="B5" s="13" t="s">
        <v>6</v>
      </c>
      <c r="C5" s="13"/>
      <c r="D5" s="13"/>
      <c r="E5" s="13"/>
      <c r="F5" s="13"/>
      <c r="G5" s="14" t="n">
        <v>32.6</v>
      </c>
      <c r="H5" s="15" t="str">
        <f aca="false">IF((Laskelmat!G5-Laskelmat!G6)=0,"Väärä","")</f>
        <v/>
      </c>
      <c r="I5" s="6"/>
      <c r="J5" s="1"/>
      <c r="K5" s="1"/>
      <c r="L5" s="1"/>
      <c r="M5" s="1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customFormat="false" ht="17" hidden="false" customHeight="true" outlineLevel="0" collapsed="false">
      <c r="A6" s="4"/>
      <c r="B6" s="13" t="s">
        <v>7</v>
      </c>
      <c r="C6" s="13"/>
      <c r="D6" s="13"/>
      <c r="E6" s="13"/>
      <c r="F6" s="13"/>
      <c r="G6" s="14" t="n">
        <v>27.3</v>
      </c>
      <c r="H6" s="15" t="str">
        <f aca="false">IF((Laskelmat!G5-Laskelmat!G6)=0,"arvo","")</f>
        <v/>
      </c>
      <c r="I6" s="6"/>
      <c r="J6" s="1"/>
      <c r="K6" s="1"/>
      <c r="L6" s="1"/>
      <c r="M6" s="1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customFormat="false" ht="17" hidden="false" customHeight="true" outlineLevel="0" collapsed="false">
      <c r="A7" s="4"/>
      <c r="B7" s="16" t="s">
        <v>8</v>
      </c>
      <c r="C7" s="16"/>
      <c r="D7" s="16"/>
      <c r="E7" s="16"/>
      <c r="F7" s="16"/>
      <c r="G7" s="16"/>
      <c r="H7" s="17" t="n">
        <f aca="false">Laskelmat!G5-Laskelmat!G6</f>
        <v>5.3</v>
      </c>
      <c r="I7" s="6"/>
      <c r="J7" s="1"/>
      <c r="K7" s="1"/>
      <c r="L7" s="1"/>
      <c r="M7" s="1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</row>
    <row r="8" customFormat="false" ht="17" hidden="false" customHeight="true" outlineLevel="0" collapsed="false">
      <c r="A8" s="4"/>
      <c r="B8" s="18" t="s">
        <v>9</v>
      </c>
      <c r="C8" s="18"/>
      <c r="D8" s="19" t="s">
        <v>10</v>
      </c>
      <c r="E8" s="19"/>
      <c r="F8" s="20" t="s">
        <v>11</v>
      </c>
      <c r="G8" s="21" t="n">
        <v>0.5</v>
      </c>
      <c r="H8" s="22" t="str">
        <f aca="false">VLOOKUP(F8,Taulukot!B90:D93,3)</f>
        <v>litraa sekunnissa</v>
      </c>
      <c r="I8" s="6"/>
      <c r="J8" s="1"/>
      <c r="K8" s="1"/>
      <c r="L8" s="1"/>
      <c r="M8" s="1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customFormat="false" ht="17" hidden="false" customHeight="true" outlineLevel="0" collapsed="false">
      <c r="A9" s="4"/>
      <c r="B9" s="23" t="s">
        <v>12</v>
      </c>
      <c r="C9" s="24"/>
      <c r="D9" s="25"/>
      <c r="E9" s="24"/>
      <c r="F9" s="26"/>
      <c r="G9" s="27" t="n">
        <f aca="false">VLOOKUP(F8,Taulukot!B90:C93,2,1)</f>
        <v>1</v>
      </c>
      <c r="H9" s="28" t="n">
        <f aca="false">G8/G9</f>
        <v>0.5</v>
      </c>
      <c r="I9" s="6"/>
      <c r="J9" s="1"/>
      <c r="K9" s="1"/>
      <c r="L9" s="1"/>
      <c r="M9" s="1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</row>
    <row r="10" customFormat="false" ht="17" hidden="false" customHeight="true" outlineLevel="0" collapsed="false">
      <c r="A10" s="4"/>
      <c r="B10" s="13" t="s">
        <v>13</v>
      </c>
      <c r="C10" s="13"/>
      <c r="D10" s="13"/>
      <c r="E10" s="13"/>
      <c r="F10" s="13"/>
      <c r="G10" s="13"/>
      <c r="H10" s="29" t="n">
        <f aca="false">60*$H9</f>
        <v>30</v>
      </c>
      <c r="I10" s="6"/>
      <c r="J10" s="1"/>
      <c r="K10" s="1"/>
      <c r="L10" s="1"/>
      <c r="M10" s="1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customFormat="false" ht="17" hidden="false" customHeight="true" outlineLevel="0" collapsed="false">
      <c r="A11" s="4"/>
      <c r="B11" s="13" t="s">
        <v>14</v>
      </c>
      <c r="C11" s="13"/>
      <c r="D11" s="13"/>
      <c r="E11" s="13"/>
      <c r="F11" s="13"/>
      <c r="G11" s="13"/>
      <c r="H11" s="30" t="n">
        <f aca="false">60*Laskelmat!H10</f>
        <v>1800</v>
      </c>
      <c r="I11" s="6"/>
      <c r="J11" s="1"/>
      <c r="K11" s="1"/>
      <c r="L11" s="1"/>
      <c r="M11" s="1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customFormat="false" ht="17" hidden="false" customHeight="true" outlineLevel="0" collapsed="false">
      <c r="A12" s="4"/>
      <c r="B12" s="31" t="s">
        <v>15</v>
      </c>
      <c r="C12" s="31"/>
      <c r="D12" s="31"/>
      <c r="E12" s="31"/>
      <c r="F12" s="31"/>
      <c r="G12" s="31"/>
      <c r="H12" s="32" t="n">
        <f aca="false">Laskelmat!H16*Laskelmat!H7*Laskelmat!H9</f>
        <v>11.07435</v>
      </c>
      <c r="I12" s="33"/>
      <c r="J12" s="1"/>
      <c r="L12" s="1"/>
      <c r="M12" s="1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customFormat="false" ht="17" hidden="false" customHeight="true" outlineLevel="0" collapsed="false">
      <c r="A13" s="4"/>
      <c r="B13" s="13" t="s">
        <v>16</v>
      </c>
      <c r="C13" s="13"/>
      <c r="D13" s="13"/>
      <c r="E13" s="13"/>
      <c r="F13" s="13"/>
      <c r="G13" s="34" t="n">
        <v>2.31</v>
      </c>
      <c r="H13" s="35" t="str">
        <f aca="false">IF(Laskelmat!G13&lt;0.1,"Anna teho","")</f>
        <v/>
      </c>
      <c r="I13" s="6"/>
      <c r="J13" s="1"/>
      <c r="K13" s="1"/>
      <c r="L13" s="1"/>
      <c r="M13" s="1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customFormat="false" ht="17" hidden="false" customHeight="true" outlineLevel="0" collapsed="false">
      <c r="A14" s="4"/>
      <c r="B14" s="13" t="s">
        <v>17</v>
      </c>
      <c r="C14" s="13"/>
      <c r="D14" s="13"/>
      <c r="E14" s="13"/>
      <c r="F14" s="13"/>
      <c r="G14" s="13"/>
      <c r="H14" s="32" t="n">
        <f aca="false">Laskelmat!H12-Laskelmat!G13</f>
        <v>8.76435</v>
      </c>
      <c r="I14" s="6"/>
      <c r="J14" s="1"/>
      <c r="K14" s="1"/>
      <c r="L14" s="1"/>
      <c r="M14" s="1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customFormat="false" ht="17" hidden="false" customHeight="true" outlineLevel="0" collapsed="false">
      <c r="A15" s="4"/>
      <c r="B15" s="31" t="s">
        <v>18</v>
      </c>
      <c r="C15" s="31"/>
      <c r="D15" s="31"/>
      <c r="E15" s="31"/>
      <c r="F15" s="31"/>
      <c r="G15" s="31"/>
      <c r="H15" s="36" t="n">
        <f aca="false">IF((Laskelmat!H12/Laskelmat!G13)&gt;10,"Väärä arvo",Laskelmat!H12/Laskelmat!G13)</f>
        <v>4.79409090909091</v>
      </c>
      <c r="I15" s="6"/>
      <c r="J15" s="1"/>
      <c r="K15" s="1"/>
      <c r="L15" s="1"/>
      <c r="M15" s="1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customFormat="false" ht="17" hidden="false" customHeight="true" outlineLevel="0" collapsed="false">
      <c r="A16" s="4"/>
      <c r="B16" s="23" t="s">
        <v>19</v>
      </c>
      <c r="C16" s="23"/>
      <c r="D16" s="23"/>
      <c r="E16" s="23"/>
      <c r="F16" s="23"/>
      <c r="G16" s="37" t="n">
        <f aca="false">IF(AVERAGE(G5:G6)&lt;1,1,AVERAGE(G5:G6))</f>
        <v>29.95</v>
      </c>
      <c r="H16" s="38" t="n">
        <f aca="false">VLOOKUP(G16,Taulukot!B48:D76,3)</f>
        <v>4.179</v>
      </c>
      <c r="I16" s="6"/>
      <c r="J16" s="1"/>
      <c r="K16" s="1"/>
      <c r="L16" s="1"/>
      <c r="M16" s="1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customFormat="false" ht="9.95" hidden="false" customHeight="true" outlineLevel="0" collapsed="false">
      <c r="A17" s="4"/>
      <c r="B17" s="39"/>
      <c r="C17" s="39"/>
      <c r="D17" s="39"/>
      <c r="E17" s="39"/>
      <c r="F17" s="39"/>
      <c r="G17" s="39"/>
      <c r="H17" s="39"/>
      <c r="I17" s="6"/>
      <c r="J17" s="1"/>
      <c r="K17" s="1"/>
      <c r="L17" s="1"/>
      <c r="M17" s="1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customFormat="false" ht="21.3" hidden="false" customHeight="true" outlineLevel="0" collapsed="false">
      <c r="A18" s="4"/>
      <c r="B18" s="8" t="s">
        <v>20</v>
      </c>
      <c r="C18" s="8"/>
      <c r="D18" s="8"/>
      <c r="E18" s="8"/>
      <c r="F18" s="8"/>
      <c r="G18" s="8"/>
      <c r="H18" s="8"/>
      <c r="I18" s="6"/>
      <c r="J18" s="1"/>
      <c r="K18" s="1"/>
      <c r="L18" s="1"/>
      <c r="M18" s="1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customFormat="false" ht="16.5" hidden="false" customHeight="true" outlineLevel="0" collapsed="false">
      <c r="A19" s="4"/>
      <c r="B19" s="13" t="s">
        <v>6</v>
      </c>
      <c r="C19" s="13"/>
      <c r="D19" s="13"/>
      <c r="E19" s="13"/>
      <c r="F19" s="13"/>
      <c r="G19" s="14" t="n">
        <v>5</v>
      </c>
      <c r="H19" s="15" t="str">
        <f aca="false">IF((Laskelmat!G19-Laskelmat!G20)=0,"Väärä","")</f>
        <v/>
      </c>
      <c r="I19" s="40"/>
      <c r="J19" s="1"/>
      <c r="K19" s="1"/>
      <c r="L19" s="1"/>
      <c r="M19" s="1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customFormat="false" ht="16.5" hidden="false" customHeight="true" outlineLevel="0" collapsed="false">
      <c r="A20" s="4"/>
      <c r="B20" s="13" t="s">
        <v>7</v>
      </c>
      <c r="C20" s="13"/>
      <c r="D20" s="13"/>
      <c r="E20" s="13"/>
      <c r="F20" s="13"/>
      <c r="G20" s="14" t="n">
        <v>0</v>
      </c>
      <c r="H20" s="15" t="str">
        <f aca="false">IF((Laskelmat!G19-Laskelmat!G20)=0,"arvo","")</f>
        <v/>
      </c>
      <c r="I20" s="40"/>
      <c r="J20" s="1"/>
      <c r="K20" s="1"/>
      <c r="L20" s="1"/>
      <c r="M20" s="1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customFormat="false" ht="16.5" hidden="false" customHeight="true" outlineLevel="0" collapsed="false">
      <c r="A21" s="4"/>
      <c r="B21" s="31" t="s">
        <v>8</v>
      </c>
      <c r="C21" s="31"/>
      <c r="D21" s="31"/>
      <c r="E21" s="31"/>
      <c r="F21" s="31"/>
      <c r="G21" s="31"/>
      <c r="H21" s="41" t="n">
        <f aca="false">Laskelmat!G19-Laskelmat!G20</f>
        <v>5</v>
      </c>
      <c r="I21" s="40"/>
      <c r="J21" s="1"/>
      <c r="K21" s="1"/>
      <c r="L21" s="1"/>
      <c r="M21" s="1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customFormat="false" ht="16.55" hidden="false" customHeight="true" outlineLevel="0" collapsed="false">
      <c r="A22" s="4"/>
      <c r="B22" s="13" t="s">
        <v>21</v>
      </c>
      <c r="C22" s="13"/>
      <c r="D22" s="13"/>
      <c r="E22" s="13"/>
      <c r="F22" s="13"/>
      <c r="G22" s="34" t="n">
        <v>8.1</v>
      </c>
      <c r="H22" s="35" t="str">
        <f aca="false">IF(Laskelmat!G22&lt;0.1,"Anna teho","")</f>
        <v/>
      </c>
      <c r="I22" s="40"/>
      <c r="J22" s="1"/>
      <c r="K22" s="1"/>
      <c r="L22" s="1"/>
      <c r="M22" s="1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customFormat="false" ht="16.5" hidden="false" customHeight="true" outlineLevel="0" collapsed="false">
      <c r="A23" s="4"/>
      <c r="B23" s="31" t="s">
        <v>22</v>
      </c>
      <c r="C23" s="31"/>
      <c r="D23" s="31"/>
      <c r="E23" s="31"/>
      <c r="F23" s="31"/>
      <c r="G23" s="31"/>
      <c r="H23" s="42" t="n">
        <f aca="false">IF((Laskelmat!H16*Laskelmat!H21)&lt;0.01,"",Laskelmat!G22/(Laskelmat!H16*Laskelmat!H21))</f>
        <v>0.387652548456569</v>
      </c>
      <c r="I23" s="40"/>
      <c r="J23" s="1"/>
      <c r="K23" s="1"/>
      <c r="L23" s="1"/>
      <c r="M23" s="1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customFormat="false" ht="16.5" hidden="false" customHeight="true" outlineLevel="0" collapsed="false">
      <c r="A24" s="4"/>
      <c r="B24" s="13" t="s">
        <v>13</v>
      </c>
      <c r="C24" s="13"/>
      <c r="D24" s="13"/>
      <c r="E24" s="13"/>
      <c r="F24" s="13"/>
      <c r="G24" s="13"/>
      <c r="H24" s="43" t="n">
        <f aca="false">IF((Laskelmat!H16*Laskelmat!H21)&lt;0.1,"",60*Laskelmat!H23)</f>
        <v>23.2591529073941</v>
      </c>
      <c r="I24" s="40"/>
      <c r="J24" s="1"/>
      <c r="K24" s="1"/>
      <c r="L24" s="1"/>
      <c r="M24" s="1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customFormat="false" ht="16.5" hidden="false" customHeight="true" outlineLevel="0" collapsed="false">
      <c r="A25" s="4"/>
      <c r="B25" s="13" t="s">
        <v>14</v>
      </c>
      <c r="C25" s="13"/>
      <c r="D25" s="13"/>
      <c r="E25" s="13"/>
      <c r="F25" s="13"/>
      <c r="G25" s="13"/>
      <c r="H25" s="44" t="n">
        <f aca="false">IF((Laskelmat!H16*Laskelmat!H21)&lt;0.1,"",60*Laskelmat!H24)</f>
        <v>1395.54917444365</v>
      </c>
      <c r="I25" s="40"/>
      <c r="J25" s="1"/>
      <c r="K25" s="1"/>
      <c r="L25" s="1"/>
      <c r="M25" s="1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customFormat="false" ht="11.45" hidden="false" customHeight="true" outlineLevel="0" collapsed="false">
      <c r="A26" s="4"/>
      <c r="B26" s="45"/>
      <c r="C26" s="45"/>
      <c r="D26" s="45"/>
      <c r="E26" s="45"/>
      <c r="F26" s="45"/>
      <c r="G26" s="45"/>
      <c r="H26" s="45"/>
      <c r="I26" s="6"/>
      <c r="J26" s="1"/>
      <c r="K26" s="1"/>
      <c r="L26" s="1"/>
      <c r="M26" s="1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customFormat="false" ht="25.25" hidden="false" customHeight="true" outlineLevel="0" collapsed="false">
      <c r="A27" s="4"/>
      <c r="B27" s="46" t="s">
        <v>23</v>
      </c>
      <c r="C27" s="46"/>
      <c r="D27" s="46"/>
      <c r="E27" s="46"/>
      <c r="F27" s="46"/>
      <c r="G27" s="47" t="s">
        <v>24</v>
      </c>
      <c r="H27" s="48" t="s">
        <v>25</v>
      </c>
      <c r="I27" s="6"/>
      <c r="J27" s="1"/>
      <c r="K27" s="1"/>
      <c r="L27" s="1"/>
      <c r="M27" s="1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customFormat="false" ht="16.55" hidden="false" customHeight="true" outlineLevel="0" collapsed="false">
      <c r="A28" s="4"/>
      <c r="B28" s="13" t="s">
        <v>6</v>
      </c>
      <c r="C28" s="13"/>
      <c r="D28" s="13"/>
      <c r="E28" s="13"/>
      <c r="F28" s="13"/>
      <c r="G28" s="14" t="n">
        <v>3</v>
      </c>
      <c r="H28" s="15" t="str">
        <f aca="false">IF((Laskelmat!G28-Laskelmat!G29)=0,"Väärä","")</f>
        <v/>
      </c>
      <c r="I28" s="6"/>
      <c r="J28" s="1"/>
      <c r="K28" s="1"/>
      <c r="L28" s="1"/>
      <c r="M28" s="1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customFormat="false" ht="16.55" hidden="false" customHeight="true" outlineLevel="0" collapsed="false">
      <c r="A29" s="4"/>
      <c r="B29" s="13" t="s">
        <v>7</v>
      </c>
      <c r="C29" s="13"/>
      <c r="D29" s="13"/>
      <c r="E29" s="13"/>
      <c r="F29" s="13"/>
      <c r="G29" s="14" t="n">
        <v>0</v>
      </c>
      <c r="H29" s="15" t="str">
        <f aca="false">IF((Laskelmat!G28-Laskelmat!G29)=0,"arvo","")</f>
        <v/>
      </c>
      <c r="I29" s="6"/>
      <c r="J29" s="1"/>
      <c r="K29" s="49"/>
      <c r="L29" s="1"/>
      <c r="M29" s="1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</row>
    <row r="30" customFormat="false" ht="16.55" hidden="false" customHeight="true" outlineLevel="0" collapsed="false">
      <c r="A30" s="4"/>
      <c r="B30" s="16" t="s">
        <v>8</v>
      </c>
      <c r="C30" s="16"/>
      <c r="D30" s="16"/>
      <c r="E30" s="50"/>
      <c r="F30" s="51" t="n">
        <f aca="false">IF(AVERAGE(G28:G29)&gt;1,1,AVERAGE(G28:G29))</f>
        <v>1</v>
      </c>
      <c r="G30" s="52" t="n">
        <f aca="false">G28-G29</f>
        <v>3</v>
      </c>
      <c r="H30" s="53" t="n">
        <f aca="false">IF(H27="ILMALLE",1,VLOOKUP(F30,Taulukot!B48:D76,3))</f>
        <v>4.214</v>
      </c>
      <c r="I30" s="6"/>
      <c r="J30" s="1"/>
      <c r="K30" s="49"/>
      <c r="L30" s="1"/>
      <c r="M30" s="1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</row>
    <row r="31" customFormat="false" ht="16.55" hidden="false" customHeight="true" outlineLevel="0" collapsed="false">
      <c r="A31" s="4"/>
      <c r="B31" s="54" t="str">
        <f aca="false">" "&amp;H27&amp;"  "&amp;"virtaama (litraa/minuutissa)"</f>
        <v> VEDELLE  virtaama (litraa/minuutissa)</v>
      </c>
      <c r="C31" s="54"/>
      <c r="D31" s="54"/>
      <c r="E31" s="55" t="s">
        <v>26</v>
      </c>
      <c r="F31" s="55"/>
      <c r="G31" s="56" t="n">
        <v>35</v>
      </c>
      <c r="H31" s="20" t="s">
        <v>27</v>
      </c>
      <c r="I31" s="6"/>
      <c r="J31" s="1"/>
      <c r="K31" s="49"/>
      <c r="L31" s="1"/>
      <c r="M31" s="1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customFormat="false" ht="16.55" hidden="false" customHeight="true" outlineLevel="0" collapsed="false">
      <c r="A32" s="4"/>
      <c r="B32" s="31" t="s">
        <v>22</v>
      </c>
      <c r="C32" s="31"/>
      <c r="D32" s="31"/>
      <c r="E32" s="31"/>
      <c r="F32" s="31"/>
      <c r="G32" s="57" t="n">
        <f aca="false">VLOOKUP(Laskelmat!H31,Laskelmat!B172:C174,2,)</f>
        <v>60</v>
      </c>
      <c r="H32" s="58" t="n">
        <f aca="false">Laskelmat!G31/Laskelmat!G32</f>
        <v>0.583333333333333</v>
      </c>
      <c r="I32" s="6"/>
      <c r="J32" s="1"/>
      <c r="K32" s="49"/>
      <c r="L32" s="1"/>
      <c r="M32" s="1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customFormat="false" ht="16.55" hidden="false" customHeight="true" outlineLevel="0" collapsed="false">
      <c r="A33" s="4"/>
      <c r="B33" s="13"/>
      <c r="C33" s="13"/>
      <c r="D33" s="13"/>
      <c r="E33" s="13"/>
      <c r="F33" s="13"/>
      <c r="G33" s="59" t="n">
        <f aca="false">IF(H27="ILMALLE",0.0012,1)</f>
        <v>1</v>
      </c>
      <c r="H33" s="60" t="n">
        <f aca="false">60*Laskelmat!H32</f>
        <v>35</v>
      </c>
      <c r="I33" s="6"/>
      <c r="J33" s="1"/>
      <c r="K33" s="1"/>
      <c r="L33" s="1"/>
      <c r="M33" s="1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customFormat="false" ht="16.45" hidden="false" customHeight="true" outlineLevel="0" collapsed="false">
      <c r="A34" s="4"/>
      <c r="B34" s="13" t="s">
        <v>14</v>
      </c>
      <c r="C34" s="13"/>
      <c r="D34" s="13"/>
      <c r="E34" s="13"/>
      <c r="F34" s="13"/>
      <c r="G34" s="13"/>
      <c r="H34" s="30" t="n">
        <f aca="false">60*Laskelmat!H33</f>
        <v>2100</v>
      </c>
      <c r="I34" s="6"/>
      <c r="J34" s="1"/>
      <c r="K34" s="1"/>
      <c r="L34" s="1"/>
      <c r="M34" s="1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customFormat="false" ht="16.45" hidden="false" customHeight="true" outlineLevel="0" collapsed="false">
      <c r="A35" s="4"/>
      <c r="B35" s="31" t="s">
        <v>28</v>
      </c>
      <c r="C35" s="31"/>
      <c r="D35" s="31"/>
      <c r="E35" s="31"/>
      <c r="F35" s="31"/>
      <c r="G35" s="31"/>
      <c r="H35" s="61" t="n">
        <f aca="false">G33*Laskelmat!H30*Laskelmat!G30*Laskelmat!H32</f>
        <v>7.3745</v>
      </c>
      <c r="I35" s="62"/>
      <c r="J35" s="1"/>
      <c r="K35" s="1"/>
      <c r="L35" s="1"/>
      <c r="M35" s="1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customFormat="false" ht="10.1" hidden="false" customHeight="true" outlineLevel="0" collapsed="false">
      <c r="A36" s="4"/>
      <c r="B36" s="45"/>
      <c r="C36" s="45"/>
      <c r="D36" s="45"/>
      <c r="E36" s="45"/>
      <c r="F36" s="45"/>
      <c r="G36" s="45"/>
      <c r="H36" s="45"/>
      <c r="I36" s="6"/>
      <c r="J36" s="1"/>
      <c r="K36" s="1"/>
      <c r="L36" s="1"/>
      <c r="M36" s="1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customFormat="false" ht="16.45" hidden="false" customHeight="true" outlineLevel="0" collapsed="false">
      <c r="A37" s="4"/>
      <c r="B37" s="8" t="s">
        <v>29</v>
      </c>
      <c r="C37" s="8"/>
      <c r="D37" s="8"/>
      <c r="E37" s="8"/>
      <c r="F37" s="8"/>
      <c r="G37" s="8"/>
      <c r="H37" s="8"/>
      <c r="I37" s="6"/>
      <c r="J37" s="1"/>
      <c r="K37" s="1"/>
      <c r="L37" s="1"/>
      <c r="M37" s="1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customFormat="false" ht="16.45" hidden="false" customHeight="true" outlineLevel="0" collapsed="false">
      <c r="A38" s="4"/>
      <c r="B38" s="13" t="s">
        <v>30</v>
      </c>
      <c r="C38" s="13"/>
      <c r="D38" s="13"/>
      <c r="E38" s="13"/>
      <c r="F38" s="13"/>
      <c r="G38" s="14" t="n">
        <v>6</v>
      </c>
      <c r="H38" s="59" t="str">
        <f aca="false">IF((Laskelmat!G38-Laskelmat!G39)=0,"Väärä","")</f>
        <v/>
      </c>
      <c r="I38" s="6"/>
      <c r="J38" s="1"/>
      <c r="K38" s="1"/>
      <c r="L38" s="1"/>
      <c r="M38" s="1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customFormat="false" ht="16.45" hidden="false" customHeight="true" outlineLevel="0" collapsed="false">
      <c r="A39" s="4"/>
      <c r="B39" s="13" t="s">
        <v>31</v>
      </c>
      <c r="C39" s="13"/>
      <c r="D39" s="13"/>
      <c r="E39" s="13"/>
      <c r="F39" s="13"/>
      <c r="G39" s="14" t="n">
        <v>50</v>
      </c>
      <c r="H39" s="59" t="str">
        <f aca="false">IF((Laskelmat!G38-Laskelmat!G39)=0,"arvo","")</f>
        <v/>
      </c>
      <c r="I39" s="6"/>
      <c r="J39" s="1"/>
      <c r="K39" s="1"/>
      <c r="L39" s="1"/>
      <c r="M39" s="1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customFormat="false" ht="16.45" hidden="false" customHeight="true" outlineLevel="0" collapsed="false">
      <c r="A40" s="4"/>
      <c r="B40" s="31" t="s">
        <v>32</v>
      </c>
      <c r="C40" s="31"/>
      <c r="D40" s="31"/>
      <c r="E40" s="31"/>
      <c r="F40" s="31"/>
      <c r="G40" s="31"/>
      <c r="H40" s="41" t="n">
        <f aca="false">Laskelmat!G39-Laskelmat!G38</f>
        <v>44</v>
      </c>
      <c r="I40" s="6"/>
      <c r="J40" s="1"/>
      <c r="K40" s="1"/>
      <c r="L40" s="1"/>
      <c r="M40" s="1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  <row r="41" customFormat="false" ht="16.45" hidden="false" customHeight="true" outlineLevel="0" collapsed="false">
      <c r="A41" s="4"/>
      <c r="B41" s="13" t="s">
        <v>33</v>
      </c>
      <c r="C41" s="13"/>
      <c r="D41" s="13"/>
      <c r="E41" s="13"/>
      <c r="F41" s="13"/>
      <c r="G41" s="63" t="n">
        <v>300</v>
      </c>
      <c r="H41" s="64" t="n">
        <f aca="false">Laskelmat!G41</f>
        <v>300</v>
      </c>
      <c r="I41" s="6"/>
      <c r="J41" s="1"/>
      <c r="K41" s="1"/>
      <c r="L41" s="1"/>
      <c r="M41" s="1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customFormat="false" ht="16.45" hidden="false" customHeight="true" outlineLevel="0" collapsed="false">
      <c r="A42" s="4"/>
      <c r="B42" s="16" t="s">
        <v>34</v>
      </c>
      <c r="C42" s="16"/>
      <c r="D42" s="16"/>
      <c r="E42" s="16"/>
      <c r="F42" s="16"/>
      <c r="G42" s="65" t="n">
        <f aca="false">IF(AVERAGE(G38:G39)&lt;1,1,AVERAGE(G38:G39))</f>
        <v>28</v>
      </c>
      <c r="H42" s="66" t="n">
        <f aca="false">VLOOKUP(G42,Taulukot!B48:D76,3)</f>
        <v>4.179</v>
      </c>
      <c r="I42" s="6"/>
      <c r="J42" s="1"/>
      <c r="K42" s="1"/>
      <c r="L42" s="1"/>
      <c r="M42" s="1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</row>
    <row r="43" customFormat="false" ht="16.45" hidden="false" customHeight="true" outlineLevel="0" collapsed="false">
      <c r="A43" s="4"/>
      <c r="B43" s="13" t="s">
        <v>35</v>
      </c>
      <c r="C43" s="13"/>
      <c r="D43" s="13"/>
      <c r="E43" s="13"/>
      <c r="F43" s="13"/>
      <c r="G43" s="13"/>
      <c r="H43" s="67" t="n">
        <f aca="false">Laskelmat!H40*Laskelmat!H41*Laskelmat!H42*1000</f>
        <v>55162800</v>
      </c>
      <c r="I43" s="6"/>
      <c r="J43" s="1"/>
      <c r="K43" s="1"/>
      <c r="L43" s="1"/>
      <c r="M43" s="1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</row>
    <row r="44" customFormat="false" ht="16.45" hidden="false" customHeight="true" outlineLevel="0" collapsed="false">
      <c r="A44" s="4"/>
      <c r="B44" s="13" t="s">
        <v>36</v>
      </c>
      <c r="C44" s="13"/>
      <c r="D44" s="13"/>
      <c r="E44" s="13"/>
      <c r="F44" s="13"/>
      <c r="G44" s="13"/>
      <c r="H44" s="68" t="n">
        <v>3600</v>
      </c>
      <c r="I44" s="6"/>
      <c r="J44" s="1"/>
      <c r="K44" s="1"/>
      <c r="L44" s="1"/>
      <c r="M44" s="1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</row>
    <row r="45" customFormat="false" ht="16.45" hidden="false" customHeight="true" outlineLevel="0" collapsed="false">
      <c r="A45" s="4"/>
      <c r="B45" s="13" t="s">
        <v>37</v>
      </c>
      <c r="C45" s="13"/>
      <c r="D45" s="13"/>
      <c r="E45" s="13"/>
      <c r="F45" s="13"/>
      <c r="G45" s="13"/>
      <c r="H45" s="69" t="n">
        <f aca="false">Laskelmat!H43/Laskelmat!H44</f>
        <v>15323</v>
      </c>
      <c r="I45" s="6"/>
      <c r="J45" s="1"/>
      <c r="K45" s="1"/>
      <c r="L45" s="1"/>
      <c r="M45" s="1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</row>
    <row r="46" customFormat="false" ht="16.45" hidden="false" customHeight="true" outlineLevel="0" collapsed="false">
      <c r="A46" s="4"/>
      <c r="B46" s="13" t="s">
        <v>38</v>
      </c>
      <c r="C46" s="13"/>
      <c r="D46" s="13"/>
      <c r="E46" s="13"/>
      <c r="F46" s="13"/>
      <c r="G46" s="70" t="n">
        <v>1000</v>
      </c>
      <c r="H46" s="71" t="n">
        <f aca="false">Laskelmat!H45/Laskelmat!G46</f>
        <v>15.323</v>
      </c>
      <c r="I46" s="6"/>
      <c r="J46" s="1"/>
      <c r="K46" s="1"/>
      <c r="L46" s="1"/>
      <c r="M46" s="1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</row>
    <row r="47" customFormat="false" ht="16.45" hidden="false" customHeight="true" outlineLevel="0" collapsed="false">
      <c r="A47" s="4"/>
      <c r="B47" s="31" t="str">
        <f aca="false">"Valitsemasi vesimäärän,  "&amp;INT(Laskelmat!G41)&amp;" litraa, lämmmittämisen tarvitaan energiaa"</f>
        <v>Valitsemasi vesimäärän,  300 litraa, lämmmittämisen tarvitaan energiaa</v>
      </c>
      <c r="C47" s="31"/>
      <c r="D47" s="31"/>
      <c r="E47" s="31"/>
      <c r="F47" s="31"/>
      <c r="G47" s="31"/>
      <c r="H47" s="72" t="n">
        <f aca="false">Laskelmat!H46</f>
        <v>15.323</v>
      </c>
      <c r="I47" s="6"/>
      <c r="J47" s="1"/>
      <c r="K47" s="1"/>
      <c r="L47" s="1"/>
      <c r="M47" s="1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</row>
    <row r="48" customFormat="false" ht="16.45" hidden="false" customHeight="true" outlineLevel="0" collapsed="false">
      <c r="A48" s="4"/>
      <c r="B48" s="31" t="s">
        <v>39</v>
      </c>
      <c r="C48" s="31"/>
      <c r="D48" s="31"/>
      <c r="E48" s="31"/>
      <c r="F48" s="31"/>
      <c r="G48" s="73" t="n">
        <v>6</v>
      </c>
      <c r="H48" s="74" t="n">
        <f aca="false">Laskelmat!H46/Laskelmat!G48</f>
        <v>2.55383333333333</v>
      </c>
      <c r="I48" s="6"/>
      <c r="J48" s="1"/>
      <c r="K48" s="1"/>
      <c r="L48" s="1"/>
      <c r="M48" s="1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</row>
    <row r="49" customFormat="false" ht="16.45" hidden="false" customHeight="true" outlineLevel="0" collapsed="false">
      <c r="A49" s="4"/>
      <c r="B49" s="31" t="str">
        <f aca="false">"Valitsemasi vesimäärän,  "&amp;INT(Laskelmat!G41)&amp;" litraa, lämmmittämisen kuluu aikaa"</f>
        <v>Valitsemasi vesimäärän,  300 litraa, lämmmittämisen kuluu aikaa</v>
      </c>
      <c r="C49" s="31"/>
      <c r="D49" s="31"/>
      <c r="E49" s="31"/>
      <c r="F49" s="31"/>
      <c r="G49" s="31"/>
      <c r="H49" s="75" t="n">
        <f aca="false">60*Laskelmat!H48</f>
        <v>153.23</v>
      </c>
      <c r="I49" s="6"/>
      <c r="J49" s="1"/>
      <c r="K49" s="1"/>
      <c r="L49" s="1"/>
      <c r="M49" s="1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</row>
    <row r="50" customFormat="false" ht="10.1" hidden="false" customHeight="true" outlineLevel="0" collapsed="false">
      <c r="A50" s="4"/>
      <c r="B50" s="45"/>
      <c r="C50" s="45"/>
      <c r="D50" s="45"/>
      <c r="E50" s="45"/>
      <c r="F50" s="45"/>
      <c r="G50" s="45"/>
      <c r="H50" s="45"/>
      <c r="I50" s="6"/>
      <c r="J50" s="1"/>
      <c r="K50" s="1"/>
      <c r="L50" s="1"/>
      <c r="M50" s="1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</row>
    <row r="51" customFormat="false" ht="16.45" hidden="false" customHeight="true" outlineLevel="0" collapsed="false">
      <c r="A51" s="4"/>
      <c r="B51" s="76" t="str">
        <f aca="false">"LASKE LÄMPÖENERGIAN MÄÄRÄ AINEESSA,  valittuna nyt :  "&amp;G51</f>
        <v>LASKE LÄMPÖENERGIAN MÄÄRÄ AINEESSA,  valittuna nyt :  Vesi</v>
      </c>
      <c r="C51" s="76"/>
      <c r="D51" s="76"/>
      <c r="E51" s="76"/>
      <c r="F51" s="76"/>
      <c r="G51" s="77" t="s">
        <v>40</v>
      </c>
      <c r="H51" s="78" t="n">
        <f aca="false">VLOOKUP(G51,Taulukot!B79:E90,2,)</f>
        <v>4210</v>
      </c>
      <c r="I51" s="6"/>
      <c r="J51" s="1"/>
      <c r="K51" s="1"/>
      <c r="L51" s="1"/>
      <c r="M51" s="1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</row>
    <row r="52" customFormat="false" ht="16.45" hidden="false" customHeight="true" outlineLevel="0" collapsed="false">
      <c r="A52" s="4"/>
      <c r="B52" s="13" t="s">
        <v>30</v>
      </c>
      <c r="C52" s="13"/>
      <c r="D52" s="13"/>
      <c r="E52" s="13"/>
      <c r="F52" s="13"/>
      <c r="G52" s="14" t="n">
        <v>35</v>
      </c>
      <c r="H52" s="59" t="str">
        <f aca="false">IF((Laskelmat!G52-Laskelmat!G53)=0,"Väärä","")</f>
        <v/>
      </c>
      <c r="I52" s="6"/>
      <c r="J52" s="1"/>
      <c r="K52" s="1"/>
      <c r="L52" s="1"/>
      <c r="M52" s="1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</row>
    <row r="53" customFormat="false" ht="16.45" hidden="false" customHeight="true" outlineLevel="0" collapsed="false">
      <c r="A53" s="4"/>
      <c r="B53" s="13" t="s">
        <v>31</v>
      </c>
      <c r="C53" s="13"/>
      <c r="D53" s="13"/>
      <c r="E53" s="13"/>
      <c r="F53" s="13"/>
      <c r="G53" s="14" t="n">
        <v>55</v>
      </c>
      <c r="H53" s="59" t="str">
        <f aca="false">IF((Laskelmat!G52-Laskelmat!G53)=0,"arvo","")</f>
        <v/>
      </c>
      <c r="I53" s="6"/>
      <c r="J53" s="1"/>
      <c r="K53" s="1"/>
      <c r="L53" s="1"/>
      <c r="M53" s="1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</row>
    <row r="54" customFormat="false" ht="16.5" hidden="false" customHeight="true" outlineLevel="0" collapsed="false">
      <c r="A54" s="4"/>
      <c r="B54" s="31" t="s">
        <v>32</v>
      </c>
      <c r="C54" s="31"/>
      <c r="D54" s="31"/>
      <c r="E54" s="31"/>
      <c r="F54" s="31"/>
      <c r="G54" s="31"/>
      <c r="H54" s="52" t="n">
        <f aca="false">Laskelmat!G53-Laskelmat!G52</f>
        <v>20</v>
      </c>
      <c r="I54" s="6"/>
      <c r="J54" s="1"/>
      <c r="K54" s="1"/>
      <c r="L54" s="1"/>
      <c r="M54" s="1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</row>
    <row r="55" customFormat="false" ht="16.5" hidden="false" customHeight="true" outlineLevel="0" collapsed="false">
      <c r="A55" s="4"/>
      <c r="B55" s="13" t="s">
        <v>33</v>
      </c>
      <c r="C55" s="13"/>
      <c r="D55" s="13"/>
      <c r="E55" s="13"/>
      <c r="F55" s="13"/>
      <c r="G55" s="79" t="n">
        <v>0.7</v>
      </c>
      <c r="H55" s="80" t="n">
        <f aca="false">Laskelmat!G55</f>
        <v>0.7</v>
      </c>
      <c r="I55" s="6"/>
      <c r="J55" s="1"/>
      <c r="K55" s="1"/>
      <c r="L55" s="1"/>
      <c r="M55" s="1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customFormat="false" ht="15.3" hidden="false" customHeight="true" outlineLevel="0" collapsed="false">
      <c r="A56" s="4"/>
      <c r="B56" s="31" t="str">
        <f aca="false">"- "&amp;G51&amp;",  ominaislämpökapasiteetti  kJ/m3/K"</f>
        <v>- Vesi,  ominaislämpökapasiteetti  kJ/m3/K</v>
      </c>
      <c r="C56" s="31"/>
      <c r="D56" s="31"/>
      <c r="E56" s="31"/>
      <c r="F56" s="31"/>
      <c r="G56" s="31"/>
      <c r="H56" s="81" t="n">
        <f aca="false">H51</f>
        <v>4210</v>
      </c>
      <c r="I56" s="6"/>
      <c r="J56" s="1"/>
      <c r="K56" s="1"/>
      <c r="L56" s="1"/>
      <c r="M56" s="1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</row>
    <row r="57" customFormat="false" ht="15.3" hidden="false" customHeight="true" outlineLevel="0" collapsed="false">
      <c r="A57" s="4"/>
      <c r="B57" s="13" t="s">
        <v>35</v>
      </c>
      <c r="C57" s="13"/>
      <c r="D57" s="13"/>
      <c r="E57" s="13"/>
      <c r="F57" s="13"/>
      <c r="G57" s="13"/>
      <c r="H57" s="82" t="n">
        <f aca="false">Laskelmat!H54*Laskelmat!H55*Laskelmat!H56*1000</f>
        <v>58940000</v>
      </c>
      <c r="I57" s="6"/>
      <c r="J57" s="1"/>
      <c r="K57" s="1"/>
      <c r="L57" s="1"/>
      <c r="M57" s="1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</row>
    <row r="58" customFormat="false" ht="13.8" hidden="false" customHeight="true" outlineLevel="0" collapsed="false">
      <c r="A58" s="4"/>
      <c r="B58" s="13" t="s">
        <v>36</v>
      </c>
      <c r="C58" s="13"/>
      <c r="D58" s="13"/>
      <c r="E58" s="13"/>
      <c r="F58" s="13"/>
      <c r="G58" s="13"/>
      <c r="H58" s="83" t="n">
        <v>3600</v>
      </c>
      <c r="I58" s="6"/>
      <c r="J58" s="1"/>
      <c r="K58" s="1"/>
      <c r="L58" s="1"/>
      <c r="M58" s="1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</row>
    <row r="59" customFormat="false" ht="13.8" hidden="false" customHeight="true" outlineLevel="0" collapsed="false">
      <c r="A59" s="4"/>
      <c r="B59" s="13" t="s">
        <v>37</v>
      </c>
      <c r="C59" s="13"/>
      <c r="D59" s="13"/>
      <c r="E59" s="13"/>
      <c r="F59" s="13"/>
      <c r="G59" s="84" t="n">
        <f aca="false">Laskelmat!H59/1000</f>
        <v>16.3722222222222</v>
      </c>
      <c r="H59" s="85" t="n">
        <f aca="false">Laskelmat!H57/Laskelmat!H58</f>
        <v>16372.2222222222</v>
      </c>
      <c r="I59" s="6"/>
      <c r="J59" s="1"/>
      <c r="K59" s="1"/>
      <c r="L59" s="1"/>
      <c r="M59" s="1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</row>
    <row r="60" customFormat="false" ht="10.1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6"/>
      <c r="J60" s="1"/>
      <c r="K60" s="1"/>
      <c r="L60" s="1"/>
      <c r="M60" s="1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</row>
    <row r="61" customFormat="false" ht="15.6" hidden="false" customHeight="true" outlineLevel="0" collapsed="false">
      <c r="A61" s="86"/>
      <c r="B61" s="8" t="s">
        <v>41</v>
      </c>
      <c r="C61" s="8"/>
      <c r="D61" s="8"/>
      <c r="E61" s="8"/>
      <c r="F61" s="8"/>
      <c r="G61" s="8"/>
      <c r="H61" s="8"/>
      <c r="I61" s="6"/>
      <c r="J61" s="1"/>
      <c r="K61" s="1"/>
      <c r="L61" s="1"/>
      <c r="M61" s="1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</row>
    <row r="62" customFormat="false" ht="15.6" hidden="false" customHeight="true" outlineLevel="0" collapsed="false">
      <c r="A62" s="86"/>
      <c r="B62" s="13" t="s">
        <v>42</v>
      </c>
      <c r="C62" s="13"/>
      <c r="D62" s="13"/>
      <c r="E62" s="13"/>
      <c r="F62" s="13"/>
      <c r="G62" s="34" t="n">
        <v>10</v>
      </c>
      <c r="H62" s="87" t="n">
        <f aca="false">Laskelmat!G62</f>
        <v>10</v>
      </c>
      <c r="I62" s="6"/>
      <c r="J62" s="1"/>
      <c r="K62" s="1"/>
      <c r="L62" s="1"/>
      <c r="M62" s="1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</row>
    <row r="63" customFormat="false" ht="15.6" hidden="false" customHeight="true" outlineLevel="0" collapsed="false">
      <c r="A63" s="86"/>
      <c r="B63" s="13" t="s">
        <v>43</v>
      </c>
      <c r="C63" s="13"/>
      <c r="D63" s="13"/>
      <c r="E63" s="13"/>
      <c r="F63" s="13"/>
      <c r="G63" s="87" t="n">
        <f aca="false">G62-(G62/G65)</f>
        <v>8</v>
      </c>
      <c r="H63" s="82" t="n">
        <f aca="false">1000*3600*Laskelmat!G63</f>
        <v>28800000</v>
      </c>
      <c r="I63" s="6"/>
      <c r="J63" s="1"/>
      <c r="K63" s="88"/>
      <c r="L63" s="1"/>
      <c r="M63" s="1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</row>
    <row r="64" customFormat="false" ht="15.6" hidden="false" customHeight="true" outlineLevel="0" collapsed="false">
      <c r="A64" s="86"/>
      <c r="B64" s="13" t="s">
        <v>44</v>
      </c>
      <c r="C64" s="13"/>
      <c r="D64" s="13"/>
      <c r="E64" s="13"/>
      <c r="F64" s="13"/>
      <c r="G64" s="87" t="n">
        <f aca="false">G62/G65</f>
        <v>2</v>
      </c>
      <c r="H64" s="87"/>
      <c r="I64" s="6"/>
      <c r="J64" s="1"/>
      <c r="K64" s="88"/>
      <c r="L64" s="1"/>
      <c r="M64" s="1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customFormat="false" ht="15.6" hidden="false" customHeight="true" outlineLevel="0" collapsed="false">
      <c r="A65" s="86"/>
      <c r="B65" s="13" t="s">
        <v>45</v>
      </c>
      <c r="C65" s="13"/>
      <c r="D65" s="13"/>
      <c r="E65" s="13"/>
      <c r="F65" s="13"/>
      <c r="G65" s="89" t="n">
        <v>5</v>
      </c>
      <c r="H65" s="90" t="n">
        <f aca="false">Laskelmat!G65</f>
        <v>5</v>
      </c>
      <c r="I65" s="6"/>
      <c r="J65" s="1"/>
      <c r="K65" s="88"/>
      <c r="L65" s="1"/>
      <c r="M65" s="1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customFormat="false" ht="15.6" hidden="false" customHeight="true" outlineLevel="0" collapsed="false">
      <c r="A66" s="86"/>
      <c r="B66" s="13" t="s">
        <v>46</v>
      </c>
      <c r="C66" s="13"/>
      <c r="D66" s="13"/>
      <c r="E66" s="13"/>
      <c r="F66" s="13"/>
      <c r="G66" s="91" t="n">
        <v>3.5</v>
      </c>
      <c r="H66" s="92" t="n">
        <f aca="false">Laskelmat!G66</f>
        <v>3.5</v>
      </c>
      <c r="I66" s="6"/>
      <c r="J66" s="1"/>
      <c r="K66" s="1"/>
      <c r="L66" s="1"/>
      <c r="M66" s="1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customFormat="false" ht="15.6" hidden="false" customHeight="true" outlineLevel="0" collapsed="false">
      <c r="A67" s="86"/>
      <c r="B67" s="13" t="str">
        <f aca="false">"- Ominaislämpökapasiteetti ja tarvittava lämpömäärä, kun kierrossa on      "&amp;IF(D68="Vesi","VESI","Naturett 17")</f>
        <v>- Ominaislämpökapasiteetti ja tarvittava lämpömäärä, kun kierrossa on      Naturett 17</v>
      </c>
      <c r="C67" s="13"/>
      <c r="D67" s="13"/>
      <c r="E67" s="13"/>
      <c r="F67" s="13"/>
      <c r="G67" s="93" t="n">
        <f aca="false">IF(D68="Vesi",4.218,4.076)</f>
        <v>4.076</v>
      </c>
      <c r="H67" s="94" t="n">
        <f aca="false">Laskelmat!H63/Laskelmat!G67/Laskelmat!H66/1000</f>
        <v>2018.78592457592</v>
      </c>
      <c r="I67" s="6"/>
      <c r="J67" s="1"/>
      <c r="K67" s="1"/>
      <c r="L67" s="1"/>
      <c r="M67" s="1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</row>
    <row r="68" customFormat="false" ht="15.6" hidden="false" customHeight="true" outlineLevel="0" collapsed="false">
      <c r="A68" s="86"/>
      <c r="B68" s="13" t="s">
        <v>47</v>
      </c>
      <c r="C68" s="13"/>
      <c r="D68" s="95" t="s">
        <v>48</v>
      </c>
      <c r="E68" s="96" t="n">
        <f aca="false">IF(Laskelmat!D68="Vesi",1,0.973)</f>
        <v>0.973</v>
      </c>
      <c r="F68" s="97" t="n">
        <f aca="false">Laskelmat!H68/3600</f>
        <v>0.576334910521844</v>
      </c>
      <c r="G68" s="98" t="n">
        <f aca="false">F68*60</f>
        <v>34.5800946313106</v>
      </c>
      <c r="H68" s="99" t="n">
        <f aca="false">Laskelmat!H67/Laskelmat!E68</f>
        <v>2074.80567787864</v>
      </c>
      <c r="I68" s="4"/>
      <c r="K68" s="1"/>
      <c r="L68" s="1"/>
      <c r="M68" s="1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</row>
    <row r="69" customFormat="false" ht="10.1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6"/>
      <c r="J69" s="1"/>
      <c r="K69" s="1"/>
      <c r="L69" s="1"/>
      <c r="M69" s="1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</row>
    <row r="70" customFormat="false" ht="17" hidden="false" customHeight="true" outlineLevel="0" collapsed="false">
      <c r="A70" s="4"/>
      <c r="B70" s="8" t="s">
        <v>49</v>
      </c>
      <c r="C70" s="8"/>
      <c r="D70" s="8"/>
      <c r="E70" s="8"/>
      <c r="F70" s="8"/>
      <c r="G70" s="8"/>
      <c r="H70" s="8"/>
      <c r="I70" s="6"/>
      <c r="J70" s="1"/>
      <c r="K70" s="1"/>
      <c r="L70" s="1"/>
      <c r="M70" s="1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</row>
    <row r="71" customFormat="false" ht="17" hidden="false" customHeight="true" outlineLevel="0" collapsed="false">
      <c r="A71" s="4"/>
      <c r="B71" s="13" t="s">
        <v>50</v>
      </c>
      <c r="C71" s="13"/>
      <c r="D71" s="13"/>
      <c r="E71" s="13"/>
      <c r="F71" s="13"/>
      <c r="G71" s="100" t="n">
        <v>40</v>
      </c>
      <c r="H71" s="101" t="n">
        <f aca="false">Laskelmat!G71</f>
        <v>40</v>
      </c>
      <c r="I71" s="6"/>
      <c r="J71" s="1"/>
      <c r="K71" s="1"/>
      <c r="L71" s="1"/>
      <c r="M71" s="1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</row>
    <row r="72" customFormat="false" ht="17" hidden="false" customHeight="true" outlineLevel="0" collapsed="false">
      <c r="A72" s="4"/>
      <c r="B72" s="13" t="s">
        <v>51</v>
      </c>
      <c r="C72" s="13"/>
      <c r="D72" s="13"/>
      <c r="E72" s="13"/>
      <c r="F72" s="13"/>
      <c r="G72" s="100" t="n">
        <v>2.4</v>
      </c>
      <c r="H72" s="101" t="n">
        <f aca="false">Laskelmat!G72</f>
        <v>2.4</v>
      </c>
      <c r="I72" s="6"/>
      <c r="J72" s="1"/>
      <c r="K72" s="1"/>
      <c r="L72" s="1"/>
      <c r="M72" s="1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</row>
    <row r="73" customFormat="false" ht="17" hidden="false" customHeight="true" outlineLevel="0" collapsed="false">
      <c r="A73" s="4"/>
      <c r="B73" s="13" t="s">
        <v>52</v>
      </c>
      <c r="C73" s="13"/>
      <c r="D73" s="13"/>
      <c r="E73" s="13"/>
      <c r="F73" s="13"/>
      <c r="G73" s="102" t="n">
        <v>15</v>
      </c>
      <c r="H73" s="103" t="n">
        <v>22</v>
      </c>
      <c r="I73" s="6"/>
      <c r="J73" s="1"/>
      <c r="K73" s="1"/>
      <c r="L73" s="1"/>
      <c r="M73" s="1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</row>
    <row r="74" customFormat="false" ht="17" hidden="false" customHeight="true" outlineLevel="0" collapsed="false">
      <c r="A74" s="4"/>
      <c r="B74" s="13" t="s">
        <v>53</v>
      </c>
      <c r="C74" s="13"/>
      <c r="D74" s="13"/>
      <c r="E74" s="13"/>
      <c r="F74" s="13"/>
      <c r="G74" s="104" t="n">
        <v>0.13</v>
      </c>
      <c r="H74" s="104" t="n">
        <f aca="false">G74</f>
        <v>0.13</v>
      </c>
      <c r="I74" s="6"/>
      <c r="J74" s="1"/>
      <c r="K74" s="1"/>
      <c r="L74" s="1"/>
      <c r="M74" s="1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</row>
    <row r="75" customFormat="false" ht="17" hidden="false" customHeight="true" outlineLevel="0" collapsed="false">
      <c r="A75" s="4"/>
      <c r="B75" s="105" t="s">
        <v>54</v>
      </c>
      <c r="C75" s="105"/>
      <c r="D75" s="105"/>
      <c r="E75" s="105"/>
      <c r="F75" s="106" t="n">
        <f aca="false">(1+G74)*(60*G73+H73)</f>
        <v>1041.86</v>
      </c>
      <c r="G75" s="102" t="n">
        <f aca="false">INT(F75/60)</f>
        <v>17</v>
      </c>
      <c r="H75" s="103" t="n">
        <f aca="false">F75-(60*G75)</f>
        <v>21.8599999999999</v>
      </c>
      <c r="I75" s="6"/>
      <c r="J75" s="1"/>
      <c r="K75" s="1"/>
      <c r="L75" s="1"/>
      <c r="M75" s="1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</row>
    <row r="76" customFormat="false" ht="17" hidden="false" customHeight="true" outlineLevel="0" collapsed="false">
      <c r="A76" s="4"/>
      <c r="B76" s="13" t="s">
        <v>55</v>
      </c>
      <c r="C76" s="13"/>
      <c r="D76" s="13"/>
      <c r="E76" s="13"/>
      <c r="F76" s="13"/>
      <c r="G76" s="107" t="n">
        <v>0.4</v>
      </c>
      <c r="H76" s="108" t="n">
        <f aca="false">G76</f>
        <v>0.4</v>
      </c>
      <c r="I76" s="6"/>
      <c r="J76" s="1"/>
      <c r="K76" s="1"/>
      <c r="L76" s="1"/>
      <c r="M76" s="1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</row>
    <row r="77" customFormat="false" ht="17" hidden="false" customHeight="true" outlineLevel="0" collapsed="false">
      <c r="A77" s="4"/>
      <c r="B77" s="13" t="s">
        <v>56</v>
      </c>
      <c r="C77" s="13"/>
      <c r="D77" s="13"/>
      <c r="E77" s="13"/>
      <c r="F77" s="13"/>
      <c r="G77" s="109" t="n">
        <v>12</v>
      </c>
      <c r="H77" s="110" t="n">
        <f aca="false">G77</f>
        <v>12</v>
      </c>
      <c r="I77" s="6"/>
      <c r="J77" s="1"/>
      <c r="K77" s="1"/>
      <c r="L77" s="1"/>
      <c r="M77" s="1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</row>
    <row r="78" customFormat="false" ht="17" hidden="false" customHeight="true" outlineLevel="0" collapsed="false">
      <c r="A78" s="4"/>
      <c r="B78" s="13" t="s">
        <v>57</v>
      </c>
      <c r="C78" s="13"/>
      <c r="D78" s="13"/>
      <c r="E78" s="13"/>
      <c r="F78" s="13"/>
      <c r="G78" s="111" t="n">
        <f aca="false">POWER(G71/2-G72,2)*PI()/1000</f>
        <v>0.973139740375975</v>
      </c>
      <c r="H78" s="111" t="n">
        <f aca="false">(G75*60+H75)*H76</f>
        <v>416.744</v>
      </c>
      <c r="I78" s="6"/>
      <c r="J78" s="1"/>
      <c r="K78" s="1"/>
      <c r="L78" s="1"/>
      <c r="M78" s="1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</row>
    <row r="79" customFormat="false" ht="17" hidden="false" customHeight="true" outlineLevel="0" collapsed="false">
      <c r="A79" s="4"/>
      <c r="B79" s="13" t="s">
        <v>58</v>
      </c>
      <c r="C79" s="13"/>
      <c r="D79" s="13"/>
      <c r="E79" s="13"/>
      <c r="F79" s="13"/>
      <c r="G79" s="112" t="n">
        <f aca="false">H78/G78/2-G77</f>
        <v>202.123410394786</v>
      </c>
      <c r="H79" s="112"/>
      <c r="I79" s="6"/>
      <c r="J79" s="1"/>
      <c r="K79" s="1"/>
      <c r="L79" s="1"/>
      <c r="M79" s="1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</row>
    <row r="80" customFormat="false" ht="15.3" hidden="false" customHeight="true" outlineLevel="0" collapsed="false">
      <c r="A80" s="4"/>
      <c r="B80" s="113"/>
      <c r="C80" s="113"/>
      <c r="D80" s="113"/>
      <c r="E80" s="113"/>
      <c r="F80" s="113"/>
      <c r="G80" s="113"/>
      <c r="H80" s="113"/>
      <c r="I80" s="6"/>
      <c r="J80" s="1"/>
      <c r="K80" s="1"/>
      <c r="L80" s="1"/>
      <c r="M80" s="1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</row>
    <row r="81" customFormat="false" ht="17" hidden="false" customHeight="true" outlineLevel="0" collapsed="false">
      <c r="A81" s="4"/>
      <c r="B81" s="8" t="s">
        <v>59</v>
      </c>
      <c r="C81" s="8"/>
      <c r="D81" s="8"/>
      <c r="E81" s="8"/>
      <c r="F81" s="8"/>
      <c r="G81" s="8"/>
      <c r="H81" s="8"/>
      <c r="I81" s="6"/>
      <c r="J81" s="114" t="s">
        <v>60</v>
      </c>
      <c r="K81" s="1"/>
      <c r="L81" s="1"/>
      <c r="M81" s="1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</row>
    <row r="82" customFormat="false" ht="17" hidden="false" customHeight="true" outlineLevel="0" collapsed="false">
      <c r="A82" s="4"/>
      <c r="B82" s="59" t="s">
        <v>61</v>
      </c>
      <c r="C82" s="115" t="n">
        <v>5</v>
      </c>
      <c r="D82" s="59" t="s">
        <v>62</v>
      </c>
      <c r="E82" s="115" t="n">
        <v>4</v>
      </c>
      <c r="F82" s="59" t="s">
        <v>63</v>
      </c>
      <c r="G82" s="115" t="n">
        <v>0.15</v>
      </c>
      <c r="H82" s="116" t="n">
        <f aca="false">Laskelmat!C82*Laskelmat!E82*Laskelmat!G82</f>
        <v>3</v>
      </c>
      <c r="I82" s="6"/>
      <c r="J82" s="1"/>
      <c r="K82" s="1"/>
      <c r="L82" s="1"/>
      <c r="M82" s="117"/>
      <c r="N82" s="3"/>
      <c r="O82" s="3"/>
      <c r="P82" s="118"/>
      <c r="Q82" s="3"/>
      <c r="R82" s="3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</row>
    <row r="83" customFormat="false" ht="17" hidden="false" customHeight="true" outlineLevel="0" collapsed="false">
      <c r="A83" s="4"/>
      <c r="B83" s="13" t="s">
        <v>64</v>
      </c>
      <c r="C83" s="13"/>
      <c r="D83" s="13"/>
      <c r="E83" s="13"/>
      <c r="F83" s="13"/>
      <c r="G83" s="119" t="n">
        <v>0.75</v>
      </c>
      <c r="H83" s="120" t="n">
        <f aca="false">Laskelmat!G83</f>
        <v>0.75</v>
      </c>
      <c r="I83" s="6"/>
      <c r="V83" s="3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</row>
    <row r="84" customFormat="false" ht="17" hidden="false" customHeight="true" outlineLevel="0" collapsed="false">
      <c r="A84" s="4"/>
      <c r="B84" s="13" t="s">
        <v>65</v>
      </c>
      <c r="C84" s="13"/>
      <c r="D84" s="13"/>
      <c r="E84" s="13"/>
      <c r="F84" s="13"/>
      <c r="G84" s="119" t="n">
        <v>2.5</v>
      </c>
      <c r="H84" s="120" t="n">
        <f aca="false">Laskelmat!G84</f>
        <v>2.5</v>
      </c>
      <c r="I84" s="6"/>
      <c r="V84" s="3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</row>
    <row r="85" customFormat="false" ht="17" hidden="false" customHeight="true" outlineLevel="0" collapsed="false">
      <c r="A85" s="4"/>
      <c r="B85" s="55" t="s">
        <v>66</v>
      </c>
      <c r="C85" s="55"/>
      <c r="D85" s="55"/>
      <c r="E85" s="55"/>
      <c r="F85" s="55"/>
      <c r="G85" s="55"/>
      <c r="H85" s="121" t="n">
        <f aca="false">1000*Laskelmat!H82*Laskelmat!H84</f>
        <v>7500</v>
      </c>
      <c r="I85" s="6"/>
      <c r="V85" s="3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</row>
    <row r="86" customFormat="false" ht="17" hidden="false" customHeight="true" outlineLevel="0" collapsed="false">
      <c r="A86" s="4"/>
      <c r="B86" s="13" t="s">
        <v>67</v>
      </c>
      <c r="C86" s="13"/>
      <c r="D86" s="13"/>
      <c r="E86" s="13"/>
      <c r="F86" s="13"/>
      <c r="G86" s="14" t="n">
        <v>20</v>
      </c>
      <c r="H86" s="122" t="n">
        <f aca="false">IF((Laskelmat!G86-Laskelmat!G87)=0,"sama molemmissa!!",Laskelmat!G86)</f>
        <v>20</v>
      </c>
      <c r="I86" s="6"/>
      <c r="V86" s="3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</row>
    <row r="87" customFormat="false" ht="17" hidden="false" customHeight="true" outlineLevel="0" collapsed="false">
      <c r="A87" s="4"/>
      <c r="B87" s="13" t="s">
        <v>68</v>
      </c>
      <c r="C87" s="13"/>
      <c r="D87" s="13"/>
      <c r="E87" s="13"/>
      <c r="F87" s="13"/>
      <c r="G87" s="14" t="n">
        <v>30</v>
      </c>
      <c r="H87" s="122" t="n">
        <f aca="false">IF((Laskelmat!G86-Laskelmat!G87)=0,"arvot ???",Laskelmat!G87-Laskelmat!G86)</f>
        <v>10</v>
      </c>
      <c r="I87" s="6"/>
      <c r="V87" s="3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</row>
    <row r="88" customFormat="false" ht="17" hidden="false" customHeight="true" outlineLevel="0" collapsed="false">
      <c r="A88" s="4"/>
      <c r="B88" s="123" t="s">
        <v>69</v>
      </c>
      <c r="C88" s="124" t="n">
        <f aca="false">Laskelmat!G87-Laskelmat!G86</f>
        <v>10</v>
      </c>
      <c r="D88" s="125" t="s">
        <v>70</v>
      </c>
      <c r="E88" s="125"/>
      <c r="F88" s="125"/>
      <c r="G88" s="126" t="str">
        <f aca="false">IF(Laskelmat!C88&gt;0,"lisääntyi","väheni")</f>
        <v>lisääntyi</v>
      </c>
      <c r="H88" s="127" t="n">
        <f aca="false">Laskelmat!H83*Laskelmat!H85*Laskelmat!H87/3600</f>
        <v>15.625</v>
      </c>
      <c r="I88" s="6"/>
      <c r="J88" s="128"/>
      <c r="K88" s="128"/>
      <c r="L88" s="128"/>
      <c r="M88" s="128"/>
      <c r="N88" s="7"/>
      <c r="O88" s="7"/>
      <c r="P88" s="7"/>
      <c r="Q88" s="7"/>
      <c r="R88" s="7"/>
      <c r="S88" s="7"/>
      <c r="T88" s="7"/>
      <c r="U88" s="7"/>
      <c r="V88" s="3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</row>
    <row r="89" customFormat="false" ht="17" hidden="false" customHeight="true" outlineLevel="0" collapsed="false">
      <c r="A89" s="4"/>
      <c r="B89" s="13" t="s">
        <v>71</v>
      </c>
      <c r="C89" s="13"/>
      <c r="D89" s="13"/>
      <c r="E89" s="13"/>
      <c r="F89" s="13"/>
      <c r="G89" s="129" t="n">
        <f aca="false">Laskelmat!H89</f>
        <v>1345.05021520803</v>
      </c>
      <c r="H89" s="130" t="n">
        <f aca="false">Laskelmat!G83*Laskelmat!H85/4.182</f>
        <v>1345.05021520803</v>
      </c>
      <c r="I89" s="6"/>
      <c r="J89" s="128"/>
      <c r="K89" s="128"/>
      <c r="L89" s="128"/>
      <c r="M89" s="128"/>
      <c r="N89" s="7"/>
      <c r="O89" s="7"/>
      <c r="P89" s="7"/>
      <c r="Q89" s="7"/>
      <c r="R89" s="7"/>
      <c r="S89" s="7"/>
      <c r="T89" s="7"/>
      <c r="U89" s="7"/>
      <c r="V89" s="3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</row>
    <row r="90" customFormat="false" ht="17" hidden="false" customHeight="true" outlineLevel="0" collapsed="false">
      <c r="A90" s="4"/>
      <c r="B90" s="31" t="s">
        <v>34</v>
      </c>
      <c r="C90" s="31"/>
      <c r="D90" s="31"/>
      <c r="E90" s="31"/>
      <c r="F90" s="31"/>
      <c r="G90" s="31"/>
      <c r="H90" s="131" t="n">
        <v>4.182</v>
      </c>
      <c r="I90" s="6"/>
      <c r="J90" s="128"/>
      <c r="K90" s="128"/>
      <c r="L90" s="128"/>
      <c r="M90" s="128"/>
      <c r="N90" s="7"/>
      <c r="O90" s="7"/>
      <c r="P90" s="7"/>
      <c r="Q90" s="7"/>
      <c r="R90" s="7"/>
      <c r="S90" s="7"/>
      <c r="T90" s="7"/>
      <c r="U90" s="7"/>
      <c r="V90" s="3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</row>
    <row r="91" customFormat="false" ht="17" hidden="false" customHeight="true" outlineLevel="0" collapsed="false">
      <c r="A91" s="4"/>
      <c r="B91" s="13" t="s">
        <v>35</v>
      </c>
      <c r="C91" s="13"/>
      <c r="D91" s="13"/>
      <c r="E91" s="13"/>
      <c r="F91" s="13"/>
      <c r="G91" s="13"/>
      <c r="H91" s="67" t="n">
        <f aca="false">Laskelmat!C88*Laskelmat!H89*Laskelmat!H90*1000</f>
        <v>56250000</v>
      </c>
      <c r="I91" s="6"/>
      <c r="J91" s="128"/>
      <c r="K91" s="128"/>
      <c r="L91" s="128"/>
      <c r="M91" s="128"/>
      <c r="N91" s="7"/>
      <c r="O91" s="7"/>
      <c r="P91" s="7"/>
      <c r="Q91" s="7"/>
      <c r="R91" s="7"/>
      <c r="S91" s="7"/>
      <c r="T91" s="7"/>
      <c r="U91" s="7"/>
      <c r="V91" s="3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</row>
    <row r="92" customFormat="false" ht="17" hidden="false" customHeight="true" outlineLevel="0" collapsed="false">
      <c r="A92" s="4"/>
      <c r="B92" s="13" t="s">
        <v>36</v>
      </c>
      <c r="C92" s="13"/>
      <c r="D92" s="13"/>
      <c r="E92" s="13"/>
      <c r="F92" s="13"/>
      <c r="G92" s="13"/>
      <c r="H92" s="68" t="n">
        <v>3600</v>
      </c>
      <c r="I92" s="6"/>
      <c r="J92" s="128"/>
      <c r="K92" s="128"/>
      <c r="L92" s="128"/>
      <c r="M92" s="128"/>
      <c r="N92" s="7"/>
      <c r="O92" s="7"/>
      <c r="P92" s="7"/>
      <c r="Q92" s="7"/>
      <c r="R92" s="7"/>
      <c r="S92" s="7"/>
      <c r="T92" s="7"/>
      <c r="U92" s="7"/>
      <c r="V92" s="3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</row>
    <row r="93" customFormat="false" ht="17" hidden="false" customHeight="true" outlineLevel="0" collapsed="false">
      <c r="A93" s="4"/>
      <c r="B93" s="13" t="s">
        <v>37</v>
      </c>
      <c r="C93" s="13"/>
      <c r="D93" s="13"/>
      <c r="E93" s="13"/>
      <c r="F93" s="13"/>
      <c r="G93" s="13"/>
      <c r="H93" s="69" t="n">
        <f aca="false">Laskelmat!H91/Laskelmat!H92</f>
        <v>15625</v>
      </c>
      <c r="I93" s="6"/>
      <c r="J93" s="128"/>
      <c r="K93" s="128"/>
      <c r="L93" s="128"/>
      <c r="M93" s="128"/>
      <c r="N93" s="7"/>
      <c r="O93" s="7"/>
      <c r="P93" s="7"/>
      <c r="Q93" s="7"/>
      <c r="R93" s="7"/>
      <c r="S93" s="7"/>
      <c r="T93" s="7"/>
      <c r="U93" s="7"/>
      <c r="V93" s="3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</row>
    <row r="94" customFormat="false" ht="17" hidden="false" customHeight="true" outlineLevel="0" collapsed="false">
      <c r="A94" s="4"/>
      <c r="B94" s="13" t="s">
        <v>38</v>
      </c>
      <c r="C94" s="13"/>
      <c r="D94" s="13"/>
      <c r="E94" s="13"/>
      <c r="F94" s="13"/>
      <c r="G94" s="70" t="n">
        <v>1000</v>
      </c>
      <c r="H94" s="71" t="n">
        <f aca="false">Laskelmat!H93/Laskelmat!G94</f>
        <v>15.625</v>
      </c>
      <c r="I94" s="6"/>
      <c r="J94" s="128"/>
      <c r="K94" s="128"/>
      <c r="L94" s="128"/>
      <c r="M94" s="128"/>
      <c r="N94" s="7"/>
      <c r="O94" s="7"/>
      <c r="P94" s="7"/>
      <c r="Q94" s="7"/>
      <c r="R94" s="7"/>
      <c r="S94" s="7"/>
      <c r="T94" s="3"/>
      <c r="U94" s="3"/>
      <c r="V94" s="3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</row>
    <row r="95" customFormat="false" ht="17" hidden="false" customHeight="true" outlineLevel="0" collapsed="false">
      <c r="A95" s="4"/>
      <c r="B95" s="31" t="str">
        <f aca="false">"Valitsemasi vesimäärän,  "&amp;INT(Laskelmat!G89)&amp;" litraa, lämmmittämisen tarvitaan energiaa"</f>
        <v>Valitsemasi vesimäärän,  1345 litraa, lämmmittämisen tarvitaan energiaa</v>
      </c>
      <c r="C95" s="31"/>
      <c r="D95" s="31"/>
      <c r="E95" s="31"/>
      <c r="F95" s="31"/>
      <c r="G95" s="31"/>
      <c r="H95" s="72" t="n">
        <f aca="false">Laskelmat!H94</f>
        <v>15.625</v>
      </c>
      <c r="I95" s="6"/>
      <c r="J95" s="128"/>
      <c r="K95" s="128"/>
      <c r="L95" s="128"/>
      <c r="M95" s="128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</row>
    <row r="96" customFormat="false" ht="17" hidden="false" customHeight="true" outlineLevel="0" collapsed="false">
      <c r="A96" s="4"/>
      <c r="B96" s="31" t="str">
        <f aca="false">"Anna lämmitysteho, kilowattia,  niin saat "&amp;IF(Laskelmat!C88&gt;0," lämmitysajan"," jäähdytysajan")&amp;"           tällä teholla  --&gt;"</f>
        <v>Anna lämmitysteho, kilowattia,  niin saat  lämmitysajan           tällä teholla  --&gt;</v>
      </c>
      <c r="C96" s="31"/>
      <c r="D96" s="31"/>
      <c r="E96" s="31"/>
      <c r="F96" s="31"/>
      <c r="G96" s="73" t="n">
        <v>3</v>
      </c>
      <c r="H96" s="132" t="n">
        <f aca="false">Laskelmat!H94/Laskelmat!G96</f>
        <v>5.20833333333333</v>
      </c>
      <c r="I96" s="6"/>
      <c r="J96" s="128"/>
      <c r="K96" s="128"/>
      <c r="L96" s="128"/>
      <c r="M96" s="128"/>
      <c r="N96" s="7"/>
      <c r="O96" s="7"/>
      <c r="P96" s="7"/>
      <c r="Q96" s="7"/>
      <c r="R96" s="7"/>
      <c r="S96" s="7"/>
      <c r="T96" s="3"/>
      <c r="U96" s="3"/>
      <c r="V96" s="3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</row>
    <row r="97" customFormat="false" ht="17" hidden="false" customHeight="true" outlineLevel="0" collapsed="false">
      <c r="A97" s="4"/>
      <c r="B97" s="31" t="str">
        <f aca="false">"Valitsemasi vesimäärän,  "&amp;INT(Laskelmat!G89)&amp;" litraa, lämmmittämisen kuluu aikaa"</f>
        <v>Valitsemasi vesimäärän,  1345 litraa, lämmmittämisen kuluu aikaa</v>
      </c>
      <c r="C97" s="31"/>
      <c r="D97" s="31"/>
      <c r="E97" s="31"/>
      <c r="F97" s="31"/>
      <c r="G97" s="31"/>
      <c r="H97" s="133" t="n">
        <f aca="false">60*Laskelmat!H96</f>
        <v>312.5</v>
      </c>
      <c r="I97" s="6"/>
      <c r="J97" s="128"/>
      <c r="K97" s="128"/>
      <c r="L97" s="128"/>
      <c r="M97" s="12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</row>
    <row r="98" customFormat="false" ht="9.95" hidden="false" customHeight="true" outlineLevel="0" collapsed="false">
      <c r="A98" s="4"/>
      <c r="B98" s="45"/>
      <c r="C98" s="45"/>
      <c r="D98" s="45"/>
      <c r="E98" s="45"/>
      <c r="F98" s="45"/>
      <c r="G98" s="45"/>
      <c r="H98" s="45"/>
      <c r="I98" s="6"/>
      <c r="J98" s="128"/>
      <c r="K98" s="128"/>
      <c r="L98" s="128"/>
      <c r="M98" s="12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</row>
    <row r="99" customFormat="false" ht="21.3" hidden="false" customHeight="true" outlineLevel="0" collapsed="false">
      <c r="A99" s="4"/>
      <c r="B99" s="134" t="s">
        <v>72</v>
      </c>
      <c r="C99" s="134"/>
      <c r="D99" s="134"/>
      <c r="E99" s="134"/>
      <c r="F99" s="134"/>
      <c r="G99" s="134"/>
      <c r="H99" s="134"/>
      <c r="I99" s="6"/>
      <c r="J99" s="128"/>
      <c r="K99" s="135"/>
      <c r="L99" s="135"/>
      <c r="M99" s="135"/>
      <c r="N99" s="2"/>
      <c r="O99" s="2"/>
      <c r="P99" s="2"/>
      <c r="Q99" s="2"/>
      <c r="R99" s="2"/>
      <c r="S99" s="2"/>
      <c r="T99" s="2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</row>
    <row r="100" customFormat="false" ht="16.5" hidden="false" customHeight="true" outlineLevel="0" collapsed="false">
      <c r="A100" s="4"/>
      <c r="B100" s="13" t="s">
        <v>73</v>
      </c>
      <c r="C100" s="13"/>
      <c r="D100" s="13"/>
      <c r="E100" s="13"/>
      <c r="F100" s="13"/>
      <c r="G100" s="100" t="n">
        <v>2000</v>
      </c>
      <c r="H100" s="15"/>
      <c r="I100" s="6"/>
      <c r="J100" s="128"/>
      <c r="K100" s="135"/>
      <c r="L100" s="135"/>
      <c r="M100" s="135"/>
      <c r="N100" s="2"/>
      <c r="O100" s="2"/>
      <c r="P100" s="2"/>
      <c r="Q100" s="2"/>
      <c r="R100" s="2"/>
      <c r="S100" s="2"/>
      <c r="T100" s="2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</row>
    <row r="101" customFormat="false" ht="16.5" hidden="false" customHeight="true" outlineLevel="0" collapsed="false">
      <c r="A101" s="4"/>
      <c r="B101" s="13" t="s">
        <v>74</v>
      </c>
      <c r="C101" s="13"/>
      <c r="D101" s="13"/>
      <c r="E101" s="13"/>
      <c r="F101" s="13"/>
      <c r="G101" s="115" t="n">
        <v>1</v>
      </c>
      <c r="H101" s="15"/>
      <c r="I101" s="6"/>
      <c r="J101" s="128"/>
      <c r="K101" s="135"/>
      <c r="L101" s="135"/>
      <c r="M101" s="135"/>
      <c r="N101" s="2"/>
      <c r="O101" s="2"/>
      <c r="P101" s="2"/>
      <c r="Q101" s="2"/>
      <c r="R101" s="2"/>
      <c r="S101" s="2"/>
      <c r="T101" s="2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</row>
    <row r="102" customFormat="false" ht="16.5" hidden="false" customHeight="true" outlineLevel="0" collapsed="false">
      <c r="A102" s="4"/>
      <c r="B102" s="13" t="s">
        <v>75</v>
      </c>
      <c r="C102" s="13"/>
      <c r="D102" s="13"/>
      <c r="E102" s="13"/>
      <c r="F102" s="13"/>
      <c r="G102" s="13"/>
      <c r="H102" s="136" t="n">
        <f aca="false">POWER(Laskelmat!G100/2,2)*PI()</f>
        <v>3141592.65358979</v>
      </c>
      <c r="I102" s="6"/>
      <c r="J102" s="128"/>
      <c r="K102" s="135"/>
      <c r="L102" s="135"/>
      <c r="M102" s="135"/>
      <c r="N102" s="2"/>
      <c r="O102" s="2"/>
      <c r="P102" s="2"/>
      <c r="Q102" s="2"/>
      <c r="R102" s="2"/>
      <c r="S102" s="2"/>
      <c r="T102" s="2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</row>
    <row r="103" customFormat="false" ht="16.5" hidden="false" customHeight="true" outlineLevel="0" collapsed="false">
      <c r="A103" s="4"/>
      <c r="B103" s="13" t="s">
        <v>76</v>
      </c>
      <c r="C103" s="13"/>
      <c r="D103" s="13"/>
      <c r="E103" s="13"/>
      <c r="F103" s="13"/>
      <c r="G103" s="13"/>
      <c r="H103" s="137" t="n">
        <f aca="false">Laskelmat!H102/100</f>
        <v>31415.9265358979</v>
      </c>
      <c r="I103" s="6"/>
      <c r="J103" s="128"/>
      <c r="K103" s="135"/>
      <c r="L103" s="135"/>
      <c r="M103" s="135"/>
      <c r="N103" s="2"/>
      <c r="O103" s="2"/>
      <c r="P103" s="2"/>
      <c r="Q103" s="2"/>
      <c r="R103" s="2"/>
      <c r="S103" s="2"/>
      <c r="T103" s="2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</row>
    <row r="104" customFormat="false" ht="16.5" hidden="false" customHeight="true" outlineLevel="0" collapsed="false">
      <c r="A104" s="4"/>
      <c r="B104" s="13" t="s">
        <v>77</v>
      </c>
      <c r="C104" s="13"/>
      <c r="D104" s="13"/>
      <c r="E104" s="13"/>
      <c r="F104" s="13"/>
      <c r="G104" s="13"/>
      <c r="H104" s="138" t="n">
        <f aca="false">Laskelmat!H103/100</f>
        <v>314.159265358979</v>
      </c>
      <c r="I104" s="6"/>
      <c r="J104" s="128"/>
      <c r="K104" s="135"/>
      <c r="L104" s="135"/>
      <c r="M104" s="135"/>
      <c r="N104" s="2"/>
      <c r="O104" s="2"/>
      <c r="P104" s="2"/>
      <c r="Q104" s="2"/>
      <c r="R104" s="2"/>
      <c r="S104" s="2"/>
      <c r="T104" s="2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</row>
    <row r="105" customFormat="false" ht="16.5" hidden="false" customHeight="true" outlineLevel="0" collapsed="false">
      <c r="A105" s="4"/>
      <c r="B105" s="13" t="s">
        <v>78</v>
      </c>
      <c r="C105" s="13"/>
      <c r="D105" s="13"/>
      <c r="E105" s="13"/>
      <c r="F105" s="13"/>
      <c r="G105" s="13"/>
      <c r="H105" s="139" t="n">
        <f aca="false">Laskelmat!G101*Laskelmat!H103*100</f>
        <v>3141592.65358979</v>
      </c>
      <c r="I105" s="6"/>
      <c r="J105" s="128"/>
      <c r="K105" s="135"/>
      <c r="L105" s="135"/>
      <c r="M105" s="135"/>
      <c r="N105" s="2"/>
      <c r="O105" s="2"/>
      <c r="P105" s="2"/>
      <c r="Q105" s="2"/>
      <c r="R105" s="2"/>
      <c r="S105" s="2"/>
      <c r="T105" s="2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</row>
    <row r="106" customFormat="false" ht="16.5" hidden="false" customHeight="true" outlineLevel="0" collapsed="false">
      <c r="A106" s="4"/>
      <c r="B106" s="140" t="s">
        <v>79</v>
      </c>
      <c r="C106" s="140"/>
      <c r="D106" s="140"/>
      <c r="E106" s="140"/>
      <c r="F106" s="140"/>
      <c r="G106" s="140"/>
      <c r="H106" s="141" t="n">
        <f aca="false">Laskelmat!H105/1000</f>
        <v>3141.59265358979</v>
      </c>
      <c r="I106" s="6"/>
      <c r="J106" s="128"/>
      <c r="K106" s="135"/>
      <c r="L106" s="135"/>
      <c r="M106" s="135"/>
      <c r="N106" s="2"/>
      <c r="O106" s="2"/>
      <c r="P106" s="2"/>
      <c r="Q106" s="2"/>
      <c r="R106" s="2"/>
      <c r="S106" s="2"/>
      <c r="T106" s="2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</row>
    <row r="107" customFormat="false" ht="11.45" hidden="false" customHeight="true" outlineLevel="0" collapsed="false">
      <c r="A107" s="4"/>
      <c r="B107" s="142"/>
      <c r="C107" s="142"/>
      <c r="D107" s="142"/>
      <c r="E107" s="142"/>
      <c r="F107" s="142"/>
      <c r="G107" s="142"/>
      <c r="H107" s="142"/>
      <c r="I107" s="6"/>
      <c r="J107" s="128"/>
      <c r="K107" s="135"/>
      <c r="L107" s="135"/>
      <c r="M107" s="135"/>
      <c r="N107" s="2"/>
      <c r="O107" s="2"/>
      <c r="P107" s="2"/>
      <c r="Q107" s="2"/>
      <c r="R107" s="2"/>
      <c r="S107" s="2"/>
      <c r="T107" s="2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</row>
    <row r="108" customFormat="false" ht="19.85" hidden="false" customHeight="true" outlineLevel="0" collapsed="false">
      <c r="A108" s="4"/>
      <c r="B108" s="8" t="s">
        <v>80</v>
      </c>
      <c r="C108" s="8"/>
      <c r="D108" s="8"/>
      <c r="E108" s="8"/>
      <c r="F108" s="8"/>
      <c r="G108" s="8"/>
      <c r="H108" s="4"/>
      <c r="I108" s="6"/>
      <c r="J108" s="135"/>
      <c r="K108" s="135"/>
      <c r="L108" s="135"/>
      <c r="M108" s="135"/>
      <c r="N108" s="2"/>
      <c r="O108" s="2"/>
      <c r="P108" s="2"/>
      <c r="Q108" s="2"/>
      <c r="R108" s="2"/>
      <c r="S108" s="2"/>
      <c r="T108" s="2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</row>
    <row r="109" customFormat="false" ht="17" hidden="false" customHeight="true" outlineLevel="0" collapsed="false">
      <c r="A109" s="4"/>
      <c r="B109" s="54" t="str">
        <f aca="false">"Kuumavesivaraajan tilavuus litroina: "&amp;INT(G109)&amp;" litraa +"&amp;ROUND(G110,0)&amp;" C -asteista vettä"</f>
        <v>Kuumavesivaraajan tilavuus litroina: 185 litraa +55 C -asteista vettä</v>
      </c>
      <c r="C109" s="54"/>
      <c r="D109" s="54"/>
      <c r="E109" s="54"/>
      <c r="F109" s="143" t="n">
        <f aca="false">Laskelmat!G109</f>
        <v>185</v>
      </c>
      <c r="G109" s="144" t="n">
        <v>185</v>
      </c>
      <c r="H109" s="45"/>
      <c r="I109" s="6"/>
      <c r="J109" s="135"/>
      <c r="K109" s="135"/>
      <c r="L109" s="135"/>
      <c r="M109" s="135"/>
      <c r="N109" s="2"/>
      <c r="O109" s="2"/>
      <c r="P109" s="2"/>
      <c r="Q109" s="2"/>
      <c r="R109" s="2"/>
      <c r="S109" s="2"/>
      <c r="T109" s="2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</row>
    <row r="110" customFormat="false" ht="17" hidden="false" customHeight="true" outlineLevel="0" collapsed="false">
      <c r="A110" s="4"/>
      <c r="B110" s="54" t="s">
        <v>81</v>
      </c>
      <c r="C110" s="54"/>
      <c r="D110" s="54"/>
      <c r="E110" s="54"/>
      <c r="F110" s="145" t="n">
        <f aca="false">G109*G110*F113</f>
        <v>42602.725</v>
      </c>
      <c r="G110" s="146" t="n">
        <v>55</v>
      </c>
      <c r="H110" s="45"/>
      <c r="I110" s="6"/>
      <c r="J110" s="135"/>
      <c r="K110" s="135"/>
      <c r="L110" s="135"/>
      <c r="M110" s="135"/>
      <c r="N110" s="2"/>
      <c r="O110" s="2"/>
      <c r="P110" s="2"/>
      <c r="Q110" s="2"/>
      <c r="R110" s="2"/>
      <c r="S110" s="2"/>
      <c r="T110" s="2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</row>
    <row r="111" customFormat="false" ht="17" hidden="false" customHeight="true" outlineLevel="0" collapsed="false">
      <c r="A111" s="4"/>
      <c r="B111" s="54" t="s">
        <v>82</v>
      </c>
      <c r="C111" s="54"/>
      <c r="D111" s="54"/>
      <c r="E111" s="54"/>
      <c r="F111" s="145" t="n">
        <f aca="false">IF(G111&gt;G110,"*VIRHE*",G109*(G110-G111)*F113)</f>
        <v>13168.115</v>
      </c>
      <c r="G111" s="146" t="n">
        <v>38</v>
      </c>
      <c r="H111" s="147" t="str">
        <f aca="false">IF(G111&gt;G110,"← Liian iso arvo.!","")</f>
        <v/>
      </c>
      <c r="I111" s="6"/>
      <c r="J111" s="135"/>
      <c r="K111" s="135"/>
      <c r="L111" s="135"/>
      <c r="M111" s="135"/>
      <c r="N111" s="2"/>
      <c r="O111" s="2"/>
      <c r="P111" s="2"/>
      <c r="Q111" s="2"/>
      <c r="R111" s="2"/>
      <c r="S111" s="2"/>
      <c r="T111" s="2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</row>
    <row r="112" customFormat="false" ht="17" hidden="false" customHeight="true" outlineLevel="0" collapsed="false">
      <c r="A112" s="4"/>
      <c r="B112" s="54" t="str">
        <f aca="false">IF(G112&gt;G111," Annoit liian korkean vesijohtoveden lämpötilan.!","Kylmän vesijohtoveden lämpötila astetta celsius asteina")</f>
        <v>Kylmän vesijohtoveden lämpötila astetta celsius asteina</v>
      </c>
      <c r="C112" s="54"/>
      <c r="D112" s="54"/>
      <c r="E112" s="54"/>
      <c r="F112" s="148" t="n">
        <f aca="false">G111-G112</f>
        <v>32</v>
      </c>
      <c r="G112" s="146" t="n">
        <v>6</v>
      </c>
      <c r="H112" s="45" t="str">
        <f aca="false">IF(G112&gt;(G111-1),"← Liian iso arvo.!","")</f>
        <v/>
      </c>
      <c r="I112" s="6"/>
      <c r="J112" s="135"/>
      <c r="K112" s="135"/>
      <c r="L112" s="135"/>
      <c r="M112" s="135"/>
      <c r="N112" s="2"/>
      <c r="O112" s="2"/>
      <c r="P112" s="2"/>
      <c r="Q112" s="2"/>
      <c r="R112" s="2"/>
      <c r="S112" s="2"/>
      <c r="T112" s="2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</row>
    <row r="113" customFormat="false" ht="17" hidden="false" customHeight="true" outlineLevel="0" collapsed="false">
      <c r="A113" s="4"/>
      <c r="B113" s="31" t="s">
        <v>34</v>
      </c>
      <c r="C113" s="31"/>
      <c r="D113" s="31"/>
      <c r="E113" s="31"/>
      <c r="F113" s="149" t="n">
        <f aca="false">Laskelmat!G113</f>
        <v>4.187</v>
      </c>
      <c r="G113" s="150" t="n">
        <v>4.187</v>
      </c>
      <c r="H113" s="45"/>
      <c r="I113" s="6"/>
      <c r="J113" s="135"/>
      <c r="K113" s="135"/>
      <c r="L113" s="135"/>
      <c r="M113" s="151"/>
      <c r="N113" s="2"/>
      <c r="O113" s="2"/>
      <c r="P113" s="2"/>
      <c r="Q113" s="2"/>
      <c r="R113" s="2"/>
      <c r="S113" s="2"/>
      <c r="T113" s="2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</row>
    <row r="114" customFormat="false" ht="17" hidden="false" customHeight="true" outlineLevel="0" collapsed="false">
      <c r="A114" s="4"/>
      <c r="B114" s="31" t="str">
        <f aca="false">IF(G111&gt;G110,"   Annoit liian suuren lämpötilan..!","Varaajasta "&amp;ROUND(G109,0)&amp;" litraa + "&amp;ROUND(G114,0)&amp;" litraa +"&amp;ROUND(G112,0)&amp;" C -asteista vettä sekottajalta")</f>
        <v>Varaajasta 185 litraa + 98 litraa +6 C -asteista vettä sekottajalta</v>
      </c>
      <c r="C114" s="31"/>
      <c r="D114" s="31"/>
      <c r="E114" s="31"/>
      <c r="F114" s="152" t="n">
        <f aca="false">G109</f>
        <v>185</v>
      </c>
      <c r="G114" s="153" t="n">
        <f aca="false">IF(G111&gt;G110,"VIRHE",F111/F112/G113)</f>
        <v>98.28125</v>
      </c>
      <c r="H114" s="45"/>
      <c r="I114" s="6"/>
      <c r="J114" s="135"/>
      <c r="K114" s="135"/>
      <c r="L114" s="135"/>
      <c r="M114" s="135"/>
      <c r="N114" s="135"/>
      <c r="O114" s="2"/>
      <c r="P114" s="2"/>
      <c r="Q114" s="2"/>
      <c r="R114" s="2"/>
      <c r="S114" s="2"/>
      <c r="T114" s="2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</row>
    <row r="115" customFormat="false" ht="17" hidden="false" customHeight="true" outlineLevel="0" collapsed="false">
      <c r="A115" s="4"/>
      <c r="B115" s="154" t="str">
        <f aca="false">"Saat +"&amp;Laskelmat!G111&amp;" C -asteista kylpyvettä"</f>
        <v>Saat +38 C -asteista kylpyvettä</v>
      </c>
      <c r="C115" s="154"/>
      <c r="D115" s="154"/>
      <c r="E115" s="154"/>
      <c r="F115" s="155"/>
      <c r="G115" s="156" t="n">
        <f aca="false">IF(G111&gt;G110,"VIRHE",F114+G114)</f>
        <v>283.28125</v>
      </c>
      <c r="H115" s="45"/>
      <c r="I115" s="6"/>
      <c r="J115" s="135"/>
      <c r="K115" s="135"/>
      <c r="L115" s="135"/>
      <c r="M115" s="135"/>
      <c r="N115" s="135"/>
      <c r="O115" s="2"/>
      <c r="P115" s="2"/>
      <c r="Q115" s="2"/>
      <c r="R115" s="2"/>
      <c r="S115" s="2"/>
      <c r="T115" s="2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</row>
    <row r="116" customFormat="false" ht="11.4" hidden="false" customHeight="true" outlineLevel="0" collapsed="false">
      <c r="A116" s="4"/>
      <c r="B116" s="45"/>
      <c r="C116" s="45"/>
      <c r="D116" s="45"/>
      <c r="E116" s="45"/>
      <c r="F116" s="45"/>
      <c r="G116" s="45"/>
      <c r="H116" s="45"/>
      <c r="I116" s="6"/>
      <c r="J116" s="135"/>
      <c r="K116" s="135"/>
      <c r="L116" s="135"/>
      <c r="M116" s="135"/>
      <c r="N116" s="135"/>
      <c r="O116" s="2"/>
      <c r="P116" s="2"/>
      <c r="Q116" s="2"/>
      <c r="R116" s="2"/>
      <c r="S116" s="2"/>
      <c r="T116" s="2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</row>
    <row r="117" customFormat="false" ht="22.5" hidden="false" customHeight="true" outlineLevel="0" collapsed="false">
      <c r="A117" s="4"/>
      <c r="B117" s="8" t="s">
        <v>83</v>
      </c>
      <c r="C117" s="8"/>
      <c r="D117" s="8"/>
      <c r="E117" s="8"/>
      <c r="F117" s="8"/>
      <c r="G117" s="8"/>
      <c r="H117" s="45"/>
      <c r="I117" s="6"/>
      <c r="J117" s="2"/>
      <c r="K117" s="2"/>
      <c r="L117" s="2"/>
      <c r="M117" s="2"/>
      <c r="N117" s="135"/>
      <c r="O117" s="2"/>
      <c r="P117" s="2"/>
      <c r="Q117" s="2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</row>
    <row r="118" customFormat="false" ht="17" hidden="false" customHeight="true" outlineLevel="0" collapsed="false">
      <c r="A118" s="4"/>
      <c r="B118" s="13" t="s">
        <v>84</v>
      </c>
      <c r="C118" s="13"/>
      <c r="D118" s="13"/>
      <c r="E118" s="13"/>
      <c r="F118" s="13"/>
      <c r="G118" s="157" t="n">
        <v>310</v>
      </c>
      <c r="H118" s="45"/>
      <c r="I118" s="6"/>
      <c r="J118" s="2"/>
      <c r="K118" s="2"/>
      <c r="L118" s="158"/>
      <c r="M118" s="2"/>
      <c r="N118" s="135"/>
      <c r="O118" s="2"/>
      <c r="P118" s="2"/>
      <c r="Q118" s="2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</row>
    <row r="119" customFormat="false" ht="17" hidden="false" customHeight="true" outlineLevel="0" collapsed="false">
      <c r="A119" s="4"/>
      <c r="B119" s="13" t="s">
        <v>85</v>
      </c>
      <c r="C119" s="13"/>
      <c r="D119" s="13"/>
      <c r="E119" s="13"/>
      <c r="F119" s="13"/>
      <c r="G119" s="157" t="n">
        <v>310</v>
      </c>
      <c r="H119" s="45"/>
      <c r="I119" s="6"/>
      <c r="J119" s="2"/>
      <c r="K119" s="2"/>
      <c r="L119" s="159"/>
      <c r="M119" s="2"/>
      <c r="N119" s="160"/>
      <c r="O119" s="2"/>
      <c r="P119" s="2"/>
      <c r="Q119" s="2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</row>
    <row r="120" customFormat="false" ht="17" hidden="false" customHeight="true" outlineLevel="0" collapsed="false">
      <c r="A120" s="4"/>
      <c r="B120" s="161" t="s">
        <v>86</v>
      </c>
      <c r="C120" s="161"/>
      <c r="D120" s="161"/>
      <c r="E120" s="162" t="n">
        <f aca="false">(Laskelmat!G118-(0.005*Laskelmat!G118))/Laskelmat!G119</f>
        <v>0.995</v>
      </c>
      <c r="F120" s="163" t="n">
        <f aca="false">INT(Laskelmat!E120)</f>
        <v>0</v>
      </c>
      <c r="G120" s="164" t="n">
        <f aca="false">IF(Laskelmat!E120&gt;Laskelmat!F120,Laskelmat!F120+1,Laskelmat!F120)</f>
        <v>1</v>
      </c>
      <c r="H120" s="45"/>
      <c r="I120" s="6"/>
      <c r="J120" s="2"/>
      <c r="K120" s="2"/>
      <c r="L120" s="165"/>
      <c r="M120" s="2"/>
      <c r="N120" s="160"/>
      <c r="O120" s="166"/>
      <c r="P120" s="2"/>
      <c r="Q120" s="2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</row>
    <row r="121" customFormat="false" ht="17" hidden="false" customHeight="true" outlineLevel="0" collapsed="false">
      <c r="A121" s="4"/>
      <c r="B121" s="161" t="s">
        <v>87</v>
      </c>
      <c r="C121" s="161"/>
      <c r="D121" s="167" t="n">
        <f aca="false">IF(Laskelmat!$E$121&gt;Laskelmat!$F$121,Laskelmat!$F$121+1,Laskelmat!$F$121)</f>
        <v>3</v>
      </c>
      <c r="E121" s="162" t="n">
        <f aca="false">Laskelmat!G121/(2*Laskelmat!G122-(Laskelmat!G123/100))</f>
        <v>2.85977859778598</v>
      </c>
      <c r="F121" s="163" t="n">
        <f aca="false">INT(Laskelmat!E121)</f>
        <v>2</v>
      </c>
      <c r="G121" s="110" t="n">
        <f aca="false">Laskelmat!G118/Laskelmat!G120</f>
        <v>310</v>
      </c>
      <c r="H121" s="45"/>
      <c r="I121" s="6"/>
      <c r="J121" s="2"/>
      <c r="K121" s="135"/>
      <c r="L121" s="165"/>
      <c r="M121" s="135"/>
      <c r="N121" s="160"/>
      <c r="O121" s="2"/>
      <c r="P121" s="2"/>
      <c r="Q121" s="2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</row>
    <row r="122" customFormat="false" ht="17" hidden="false" customHeight="true" outlineLevel="0" collapsed="false">
      <c r="A122" s="4"/>
      <c r="B122" s="13" t="s">
        <v>88</v>
      </c>
      <c r="C122" s="13"/>
      <c r="D122" s="13"/>
      <c r="E122" s="13"/>
      <c r="F122" s="13"/>
      <c r="G122" s="157" t="n">
        <v>55</v>
      </c>
      <c r="H122" s="45"/>
      <c r="I122" s="6"/>
      <c r="J122" s="2"/>
      <c r="K122" s="135"/>
      <c r="L122" s="135"/>
      <c r="M122" s="135"/>
      <c r="N122" s="160"/>
      <c r="O122" s="168"/>
      <c r="P122" s="2"/>
      <c r="Q122" s="2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</row>
    <row r="123" customFormat="false" ht="17" hidden="false" customHeight="true" outlineLevel="0" collapsed="false">
      <c r="A123" s="4"/>
      <c r="B123" s="13" t="s">
        <v>89</v>
      </c>
      <c r="C123" s="13"/>
      <c r="D123" s="13"/>
      <c r="E123" s="13"/>
      <c r="F123" s="13"/>
      <c r="G123" s="169" t="n">
        <v>160</v>
      </c>
      <c r="H123" s="45"/>
      <c r="I123" s="6"/>
      <c r="J123" s="2"/>
      <c r="K123" s="2"/>
      <c r="L123" s="165"/>
      <c r="M123" s="160"/>
      <c r="N123" s="135"/>
      <c r="O123" s="2"/>
      <c r="P123" s="2"/>
      <c r="Q123" s="2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</row>
    <row r="124" customFormat="false" ht="17" hidden="false" customHeight="true" outlineLevel="0" collapsed="false">
      <c r="A124" s="4"/>
      <c r="B124" s="170"/>
      <c r="C124" s="170"/>
      <c r="D124" s="171" t="s">
        <v>90</v>
      </c>
      <c r="E124" s="171" t="s">
        <v>91</v>
      </c>
      <c r="F124" s="172" t="s">
        <v>92</v>
      </c>
      <c r="G124" s="171" t="s">
        <v>93</v>
      </c>
      <c r="H124" s="45"/>
      <c r="I124" s="6"/>
      <c r="J124" s="2"/>
      <c r="K124" s="2"/>
      <c r="L124" s="160"/>
      <c r="M124" s="2"/>
      <c r="N124" s="173"/>
      <c r="O124" s="2"/>
      <c r="P124" s="2"/>
      <c r="Q124" s="2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</row>
    <row r="125" customFormat="false" ht="17" hidden="false" customHeight="true" outlineLevel="0" collapsed="false">
      <c r="A125" s="4"/>
      <c r="B125" s="174" t="str">
        <f aca="false">IF(Laskelmat!$G$120&gt;0,"Keruupiiri # 1","")</f>
        <v>Keruupiiri # 1</v>
      </c>
      <c r="C125" s="110" t="n">
        <f aca="false">Laskelmat!$G$121</f>
        <v>310</v>
      </c>
      <c r="D125" s="175" t="n">
        <f aca="false">Laskelmat!$D$121</f>
        <v>3</v>
      </c>
      <c r="E125" s="110" t="n">
        <f aca="false">IF(Laskelmat!B125="","",Laskelmat!C125/(2*Laskelmat!D125))</f>
        <v>51.6666666666667</v>
      </c>
      <c r="F125" s="110" t="n">
        <f aca="false">IF(Laskelmat!$G$120&gt;0,2*Laskelmat!D125*Laskelmat!$G$123/100,"")</f>
        <v>9.6</v>
      </c>
      <c r="G125" s="176" t="n">
        <f aca="false">IF(Laskelmat!$G$120&gt;0,Laskelmat!E125*Laskelmat!F125,"")</f>
        <v>496</v>
      </c>
      <c r="H125" s="45"/>
      <c r="I125" s="6"/>
      <c r="J125" s="2"/>
      <c r="K125" s="2"/>
      <c r="L125" s="2"/>
      <c r="M125" s="2"/>
      <c r="N125" s="135"/>
      <c r="O125" s="2"/>
      <c r="P125" s="2"/>
      <c r="Q125" s="2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</row>
    <row r="126" customFormat="false" ht="17" hidden="false" customHeight="true" outlineLevel="0" collapsed="false">
      <c r="A126" s="4"/>
      <c r="B126" s="174" t="str">
        <f aca="false">IF(Laskelmat!$G$120&gt;1,"Keruupiiri # 2","")</f>
        <v/>
      </c>
      <c r="C126" s="110" t="str">
        <f aca="false">IF(Laskelmat!$G$120&gt;1,Laskelmat!$G$121,"")</f>
        <v/>
      </c>
      <c r="D126" s="175" t="str">
        <f aca="false">IF(Laskelmat!$G$120&gt;1,Laskelmat!$D$121,"")</f>
        <v/>
      </c>
      <c r="E126" s="110" t="str">
        <f aca="false">IF(Laskelmat!B126="","",Laskelmat!C126/(2*Laskelmat!D126))</f>
        <v/>
      </c>
      <c r="F126" s="110" t="str">
        <f aca="false">IF(Laskelmat!$G$120&gt;1,2*Laskelmat!D126*Laskelmat!$G$123/100,"")</f>
        <v/>
      </c>
      <c r="G126" s="176" t="str">
        <f aca="false">IF(Laskelmat!$G$120&gt;1,Laskelmat!E126*Laskelmat!F126,"")</f>
        <v/>
      </c>
      <c r="H126" s="45"/>
      <c r="I126" s="6"/>
      <c r="J126" s="2"/>
      <c r="K126" s="135"/>
      <c r="L126" s="135"/>
      <c r="M126" s="135"/>
      <c r="N126" s="135"/>
      <c r="O126" s="2"/>
      <c r="P126" s="2"/>
      <c r="Q126" s="2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</row>
    <row r="127" customFormat="false" ht="17" hidden="false" customHeight="true" outlineLevel="0" collapsed="false">
      <c r="A127" s="4"/>
      <c r="B127" s="174" t="str">
        <f aca="false">IF(Laskelmat!$G$120&gt;2,"Keruupiiri # 3","")</f>
        <v/>
      </c>
      <c r="C127" s="110" t="str">
        <f aca="false">IF(Laskelmat!$G$120&gt;2,Laskelmat!$G$121,"")</f>
        <v/>
      </c>
      <c r="D127" s="175" t="str">
        <f aca="false">IF(Laskelmat!$G$120&gt;2,Laskelmat!$D$121,"")</f>
        <v/>
      </c>
      <c r="E127" s="110" t="str">
        <f aca="false">IF(Laskelmat!B127="","",Laskelmat!C127/(2*Laskelmat!D127))</f>
        <v/>
      </c>
      <c r="F127" s="110" t="str">
        <f aca="false">IF(Laskelmat!$G$120&gt;2,2*Laskelmat!D127*Laskelmat!$G$123/100,"")</f>
        <v/>
      </c>
      <c r="G127" s="176" t="str">
        <f aca="false">IF(Laskelmat!$G$120&gt;2,Laskelmat!E127*Laskelmat!F127,"")</f>
        <v/>
      </c>
      <c r="H127" s="45"/>
      <c r="I127" s="6"/>
      <c r="J127" s="2"/>
      <c r="K127" s="135"/>
      <c r="L127" s="135"/>
      <c r="M127" s="135"/>
      <c r="N127" s="135"/>
      <c r="O127" s="2"/>
      <c r="P127" s="2"/>
      <c r="Q127" s="2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</row>
    <row r="128" customFormat="false" ht="17" hidden="false" customHeight="true" outlineLevel="0" collapsed="false">
      <c r="A128" s="4"/>
      <c r="B128" s="174" t="str">
        <f aca="false">IF(Laskelmat!$G$120&gt;3,"Keruupiiri # 4","")</f>
        <v/>
      </c>
      <c r="C128" s="110" t="str">
        <f aca="false">IF(Laskelmat!$G$120&gt;3,Laskelmat!$G$121,"")</f>
        <v/>
      </c>
      <c r="D128" s="175" t="str">
        <f aca="false">IF(Laskelmat!$G$120&gt;3,Laskelmat!$D$121,"")</f>
        <v/>
      </c>
      <c r="E128" s="110" t="str">
        <f aca="false">IF(Laskelmat!B128="","",Laskelmat!C128/(2*Laskelmat!D128))</f>
        <v/>
      </c>
      <c r="F128" s="110" t="str">
        <f aca="false">IF(Laskelmat!$G$120&gt;3,2*Laskelmat!D128*Laskelmat!$G$123/100,"")</f>
        <v/>
      </c>
      <c r="G128" s="176" t="str">
        <f aca="false">IF(Laskelmat!$G$120&gt;3,Laskelmat!E128*Laskelmat!F128,"")</f>
        <v/>
      </c>
      <c r="H128" s="45"/>
      <c r="I128" s="6"/>
      <c r="J128" s="2"/>
      <c r="K128" s="135"/>
      <c r="L128" s="135"/>
      <c r="M128" s="135"/>
      <c r="N128" s="135"/>
      <c r="O128" s="2"/>
      <c r="P128" s="2"/>
      <c r="Q128" s="2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</row>
    <row r="129" customFormat="false" ht="17" hidden="false" customHeight="true" outlineLevel="0" collapsed="false">
      <c r="A129" s="4"/>
      <c r="B129" s="177" t="s">
        <v>94</v>
      </c>
      <c r="C129" s="178" t="n">
        <f aca="false">SUM(Laskelmat!C125:C127)</f>
        <v>310</v>
      </c>
      <c r="D129" s="10" t="n">
        <f aca="false">SUM(Laskelmat!D125:D128)</f>
        <v>3</v>
      </c>
      <c r="E129" s="178" t="n">
        <f aca="false">MAX(Laskelmat!E125:E128)</f>
        <v>51.6666666666667</v>
      </c>
      <c r="F129" s="178" t="n">
        <f aca="false">SUM(Laskelmat!F125:F128)</f>
        <v>9.6</v>
      </c>
      <c r="G129" s="179" t="n">
        <f aca="false">SUM(Laskelmat!G125:G127)</f>
        <v>496</v>
      </c>
      <c r="H129" s="45"/>
      <c r="I129" s="6"/>
      <c r="J129" s="2"/>
      <c r="K129" s="135"/>
      <c r="L129" s="159"/>
      <c r="M129" s="165"/>
      <c r="N129" s="160"/>
      <c r="O129" s="2"/>
      <c r="P129" s="2"/>
      <c r="Q129" s="2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</row>
    <row r="130" customFormat="false" ht="17" hidden="false" customHeight="true" outlineLevel="0" collapsed="false">
      <c r="A130" s="4"/>
      <c r="B130" s="142"/>
      <c r="C130" s="142"/>
      <c r="D130" s="142"/>
      <c r="E130" s="142"/>
      <c r="F130" s="142"/>
      <c r="G130" s="142"/>
      <c r="H130" s="45"/>
      <c r="I130" s="6"/>
      <c r="J130" s="2"/>
      <c r="K130" s="135"/>
      <c r="L130" s="159"/>
      <c r="M130" s="165"/>
      <c r="N130" s="160"/>
      <c r="O130" s="2"/>
      <c r="P130" s="2"/>
      <c r="Q130" s="2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</row>
    <row r="131" customFormat="false" ht="18.55" hidden="false" customHeight="true" outlineLevel="0" collapsed="false">
      <c r="A131" s="4"/>
      <c r="B131" s="8" t="s">
        <v>95</v>
      </c>
      <c r="C131" s="8"/>
      <c r="D131" s="8"/>
      <c r="E131" s="8"/>
      <c r="F131" s="8"/>
      <c r="G131" s="8"/>
      <c r="H131" s="45"/>
      <c r="I131" s="6"/>
      <c r="J131" s="2"/>
      <c r="K131" s="135"/>
      <c r="L131" s="159"/>
      <c r="M131" s="165"/>
      <c r="N131" s="135"/>
      <c r="O131" s="2"/>
      <c r="P131" s="2"/>
      <c r="Q131" s="2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</row>
    <row r="132" customFormat="false" ht="17" hidden="false" customHeight="true" outlineLevel="0" collapsed="false">
      <c r="A132" s="4"/>
      <c r="B132" s="180" t="s">
        <v>96</v>
      </c>
      <c r="C132" s="180"/>
      <c r="D132" s="180"/>
      <c r="E132" s="180"/>
      <c r="F132" s="180"/>
      <c r="G132" s="180"/>
      <c r="H132" s="45"/>
      <c r="I132" s="6"/>
      <c r="J132" s="2"/>
      <c r="K132" s="181"/>
      <c r="L132" s="182"/>
      <c r="M132" s="135"/>
      <c r="N132" s="135"/>
      <c r="O132" s="2"/>
      <c r="P132" s="2"/>
      <c r="Q132" s="2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</row>
    <row r="133" customFormat="false" ht="17" hidden="false" customHeight="true" outlineLevel="0" collapsed="false">
      <c r="A133" s="4"/>
      <c r="B133" s="54" t="s">
        <v>97</v>
      </c>
      <c r="C133" s="54"/>
      <c r="D133" s="54"/>
      <c r="E133" s="183" t="n">
        <v>0</v>
      </c>
      <c r="F133" s="184" t="n">
        <f aca="false">8.7*Laskelmat!E133</f>
        <v>0</v>
      </c>
      <c r="G133" s="185" t="n">
        <v>220</v>
      </c>
      <c r="H133" s="4"/>
      <c r="I133" s="6"/>
      <c r="J133" s="2"/>
      <c r="K133" s="2"/>
      <c r="L133" s="2"/>
      <c r="M133" s="2"/>
      <c r="N133" s="135"/>
      <c r="O133" s="2"/>
      <c r="P133" s="2"/>
      <c r="Q133" s="2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</row>
    <row r="134" customFormat="false" ht="17" hidden="false" customHeight="true" outlineLevel="0" collapsed="false">
      <c r="A134" s="4"/>
      <c r="B134" s="54" t="s">
        <v>98</v>
      </c>
      <c r="C134" s="54"/>
      <c r="D134" s="54"/>
      <c r="E134" s="186" t="n">
        <v>0</v>
      </c>
      <c r="F134" s="184" t="n">
        <f aca="false">1050*Laskelmat!E134</f>
        <v>0</v>
      </c>
      <c r="G134" s="187" t="n">
        <v>4500</v>
      </c>
      <c r="H134" s="4"/>
      <c r="I134" s="4"/>
      <c r="J134" s="2"/>
      <c r="K134" s="2"/>
      <c r="L134" s="165"/>
      <c r="M134" s="2"/>
      <c r="N134" s="135"/>
      <c r="O134" s="2"/>
      <c r="P134" s="2"/>
      <c r="Q134" s="2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</row>
    <row r="135" customFormat="false" ht="17" hidden="false" customHeight="true" outlineLevel="0" collapsed="false">
      <c r="A135" s="4"/>
      <c r="B135" s="54" t="s">
        <v>99</v>
      </c>
      <c r="C135" s="54"/>
      <c r="D135" s="54"/>
      <c r="E135" s="188" t="n">
        <v>25000</v>
      </c>
      <c r="F135" s="184" t="n">
        <f aca="false">Laskelmat!E135</f>
        <v>25000</v>
      </c>
      <c r="G135" s="184" t="n">
        <f aca="false">SUM(Laskelmat!F133:F135)</f>
        <v>25000</v>
      </c>
      <c r="H135" s="4"/>
      <c r="I135" s="4"/>
      <c r="J135" s="2"/>
      <c r="K135" s="2"/>
      <c r="L135" s="165"/>
      <c r="M135" s="2"/>
      <c r="N135" s="135"/>
      <c r="O135" s="2"/>
      <c r="P135" s="2"/>
      <c r="Q135" s="2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</row>
    <row r="136" customFormat="false" ht="17" hidden="false" customHeight="true" outlineLevel="0" collapsed="false">
      <c r="A136" s="4"/>
      <c r="B136" s="189" t="s">
        <v>100</v>
      </c>
      <c r="C136" s="10" t="s">
        <v>101</v>
      </c>
      <c r="D136" s="10"/>
      <c r="E136" s="189" t="s">
        <v>102</v>
      </c>
      <c r="F136" s="190" t="s">
        <v>103</v>
      </c>
      <c r="G136" s="189" t="s">
        <v>104</v>
      </c>
      <c r="H136" s="191" t="n">
        <v>78</v>
      </c>
      <c r="I136" s="4"/>
      <c r="J136" s="1"/>
      <c r="K136" s="7"/>
      <c r="L136" s="7"/>
      <c r="M136" s="7"/>
      <c r="N136" s="3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</row>
    <row r="137" customFormat="false" ht="17" hidden="false" customHeight="true" outlineLevel="0" collapsed="false">
      <c r="A137" s="4"/>
      <c r="B137" s="192" t="s">
        <v>105</v>
      </c>
      <c r="C137" s="10" t="s">
        <v>106</v>
      </c>
      <c r="D137" s="10" t="s">
        <v>107</v>
      </c>
      <c r="E137" s="193" t="n">
        <v>3000</v>
      </c>
      <c r="F137" s="190" t="s">
        <v>108</v>
      </c>
      <c r="G137" s="193" t="s">
        <v>108</v>
      </c>
      <c r="H137" s="194" t="n">
        <v>190000</v>
      </c>
      <c r="I137" s="4"/>
      <c r="J137" s="1"/>
      <c r="K137" s="7"/>
      <c r="L137" s="7"/>
      <c r="M137" s="7"/>
      <c r="N137" s="3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</row>
    <row r="138" customFormat="false" ht="17" hidden="false" customHeight="true" outlineLevel="0" collapsed="false">
      <c r="A138" s="4"/>
      <c r="B138" s="192"/>
      <c r="C138" s="10"/>
      <c r="D138" s="10"/>
      <c r="E138" s="195" t="s">
        <v>109</v>
      </c>
      <c r="F138" s="196" t="s">
        <v>110</v>
      </c>
      <c r="G138" s="195" t="s">
        <v>110</v>
      </c>
      <c r="H138" s="197" t="n">
        <v>200</v>
      </c>
      <c r="I138" s="4"/>
      <c r="J138" s="1"/>
      <c r="K138" s="7"/>
      <c r="L138" s="198"/>
      <c r="M138" s="7"/>
      <c r="N138" s="199"/>
      <c r="O138" s="199"/>
      <c r="P138" s="199"/>
      <c r="Q138" s="199"/>
      <c r="R138" s="199"/>
      <c r="S138" s="199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</row>
    <row r="139" customFormat="false" ht="17" hidden="false" customHeight="true" outlineLevel="0" collapsed="false">
      <c r="A139" s="4"/>
      <c r="B139" s="200" t="s">
        <v>100</v>
      </c>
      <c r="C139" s="201" t="n">
        <v>1.35</v>
      </c>
      <c r="D139" s="202" t="n">
        <v>55000</v>
      </c>
      <c r="E139" s="203" t="n">
        <f aca="false">0.2+(G135/80000)</f>
        <v>0.5125</v>
      </c>
      <c r="F139" s="204" t="n">
        <f aca="false">Laskelmat!G135-(Laskelmat!G135/3)</f>
        <v>16666.6666666667</v>
      </c>
      <c r="G139" s="204" t="n">
        <f aca="false">Laskelmat!G135-(Laskelmat!G135/4.5)</f>
        <v>19444.4444444444</v>
      </c>
      <c r="H139" s="10" t="s">
        <v>111</v>
      </c>
      <c r="I139" s="4"/>
      <c r="J139" s="1"/>
      <c r="K139" s="7"/>
      <c r="L139" s="7"/>
      <c r="M139" s="7"/>
      <c r="N139" s="199"/>
      <c r="O139" s="199"/>
      <c r="P139" s="199"/>
      <c r="Q139" s="199"/>
      <c r="R139" s="199"/>
      <c r="S139" s="199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</row>
    <row r="140" customFormat="false" ht="17" hidden="false" customHeight="true" outlineLevel="0" collapsed="false">
      <c r="A140" s="4"/>
      <c r="B140" s="205" t="s">
        <v>112</v>
      </c>
      <c r="C140" s="206" t="n">
        <f aca="false">VLOOKUP(Laskelmat!B140,Laskelmat!B142:H168,2,0)</f>
        <v>785</v>
      </c>
      <c r="D140" s="206" t="n">
        <f aca="false">VLOOKUP(Laskelmat!B140,Laskelmat!B142:H168,3,0)</f>
        <v>4832</v>
      </c>
      <c r="E140" s="207" t="n">
        <f aca="false">VLOOKUP(Laskelmat!B140,Laskelmat!B142:H168,4,0)</f>
        <v>7.92569659442724</v>
      </c>
      <c r="F140" s="208" t="n">
        <f aca="false">IF(Laskelmat!G$135&lt;Laskelmat!G$134,"Ei lasketa",1000*F$139/(24*365*H140*($C$139+F$139/D139)))</f>
        <v>208.131923125271</v>
      </c>
      <c r="G140" s="208" t="n">
        <f aca="false">IF(Laskelmat!G$135&lt;Laskelmat!G$134,"Ei lasketa",1000*G$139/(24*365*H141*($C$139+G$139/D139)))</f>
        <v>235.621627172798</v>
      </c>
      <c r="H140" s="209" t="n">
        <f aca="false">VLOOKUP(B140,B142:H167,7,1)</f>
        <v>5.53</v>
      </c>
      <c r="I140" s="4"/>
      <c r="J140" s="1"/>
      <c r="K140" s="7"/>
      <c r="L140" s="7"/>
      <c r="M140" s="199"/>
      <c r="N140" s="199"/>
      <c r="O140" s="199"/>
      <c r="P140" s="199"/>
      <c r="Q140" s="199"/>
      <c r="R140" s="199"/>
      <c r="S140" s="199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</row>
    <row r="141" customFormat="false" ht="17" hidden="false" customHeight="true" outlineLevel="0" collapsed="false">
      <c r="A141" s="4"/>
      <c r="B141" s="210" t="str">
        <f aca="false">IF((Laskelmat!G140&gt;Laskelmat!G133)," Vaihtoehtoisesti kaksi tällaista kaivoa   ==&gt;","Vaihtoehtoisesti kaksi tällaista kaivoa, mutta yksi kaivo riittää  ==&gt;")</f>
        <v> Vaihtoehtoisesti kaksi tällaista kaivoa   ==&gt;</v>
      </c>
      <c r="C141" s="210"/>
      <c r="D141" s="210"/>
      <c r="E141" s="210"/>
      <c r="F141" s="208" t="n">
        <f aca="false">IF(Laskelmat!G$135&lt;Laskelmat!G$134,"Ei lasketa",1000*(F$139/2)/(24*365*H141*($C$139+(F$139/2)/D139)))</f>
        <v>114.5670676739</v>
      </c>
      <c r="G141" s="208" t="n">
        <f aca="false">IF(Laskelmat!G$135&lt;Laskelmat!G$134,"Ei lasketa",1000*(G$139/2)/(24*365*H141*($C$139+(G$139/2)/D139)))</f>
        <v>131.450835007252</v>
      </c>
      <c r="H141" s="209" t="n">
        <f aca="false">H140</f>
        <v>5.53</v>
      </c>
      <c r="I141" s="4"/>
      <c r="J141" s="1"/>
      <c r="K141" s="1"/>
      <c r="L141" s="1"/>
      <c r="M141" s="199"/>
      <c r="N141" s="199"/>
      <c r="O141" s="199"/>
      <c r="P141" s="199"/>
      <c r="Q141" s="199"/>
      <c r="R141" s="199"/>
      <c r="S141" s="199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</row>
    <row r="142" customFormat="false" ht="17" hidden="false" customHeight="true" outlineLevel="0" collapsed="false">
      <c r="A142" s="4"/>
      <c r="B142" s="211" t="s">
        <v>113</v>
      </c>
      <c r="C142" s="212" t="n">
        <v>647</v>
      </c>
      <c r="D142" s="212" t="n">
        <v>3878</v>
      </c>
      <c r="E142" s="213" t="n">
        <f aca="false">IF(G$135&lt;G$134,"Ei lasketa!",(H$136-D142/C$171)*(G$135/H$137))</f>
        <v>8.38719040247678</v>
      </c>
      <c r="F142" s="214" t="n">
        <f aca="false">IF(Laskelmat!G$135&lt;Laskelmat!G$134,"Ei lasketa",1000*F$139/(24*365*H142*($C$139+F$139/D$139)))</f>
        <v>174.65395066506</v>
      </c>
      <c r="G142" s="214" t="n">
        <f aca="false">IF(Laskelmat!G$135&lt;Laskelmat!G$134,"Ei lasketa",1000*G$139/(24*365*H142*($C$139+G$139/D$139)))</f>
        <v>197.721942073683</v>
      </c>
      <c r="H142" s="215" t="n">
        <v>6.59</v>
      </c>
      <c r="I142" s="4"/>
      <c r="J142" s="1"/>
      <c r="K142" s="1"/>
      <c r="L142" s="1"/>
      <c r="M142" s="216"/>
      <c r="N142" s="217"/>
      <c r="O142" s="217"/>
      <c r="P142" s="217"/>
      <c r="Q142" s="217"/>
      <c r="R142" s="217"/>
      <c r="S142" s="21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</row>
    <row r="143" customFormat="false" ht="17" hidden="false" customHeight="true" outlineLevel="0" collapsed="false">
      <c r="A143" s="4"/>
      <c r="B143" s="211" t="s">
        <v>114</v>
      </c>
      <c r="C143" s="212" t="n">
        <v>726</v>
      </c>
      <c r="D143" s="212" t="n">
        <v>4392</v>
      </c>
      <c r="E143" s="213" t="n">
        <f aca="false">IF(G$135&lt;G$134,"Ei lasketa!",(H$136-D143/C$171)*(G$135/H$137))</f>
        <v>8.13854489164087</v>
      </c>
      <c r="F143" s="214" t="n">
        <f aca="false">IF(Laskelmat!G$135&lt;Laskelmat!G$134,"Ei lasketa",1000*F$139/(24*365*H143*($C$139+F$139/D$139)))</f>
        <v>195.079582183516</v>
      </c>
      <c r="G143" s="214" t="n">
        <f aca="false">IF(Laskelmat!G$135&lt;Laskelmat!G$134,"Ei lasketa",1000*G$139/(24*365*H143*($C$139+G$139/D$139)))</f>
        <v>220.845355638232</v>
      </c>
      <c r="H143" s="215" t="n">
        <v>5.9</v>
      </c>
      <c r="I143" s="4"/>
      <c r="J143" s="1"/>
      <c r="K143" s="1"/>
      <c r="L143" s="1"/>
      <c r="M143" s="216"/>
      <c r="N143" s="217"/>
      <c r="O143" s="217"/>
      <c r="P143" s="217"/>
      <c r="Q143" s="217"/>
      <c r="R143" s="217"/>
      <c r="S143" s="21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</row>
    <row r="144" customFormat="false" ht="17" hidden="false" customHeight="true" outlineLevel="0" collapsed="false">
      <c r="A144" s="4"/>
      <c r="B144" s="211" t="s">
        <v>115</v>
      </c>
      <c r="C144" s="212" t="n">
        <v>846</v>
      </c>
      <c r="D144" s="212" t="n">
        <v>5026</v>
      </c>
      <c r="E144" s="213" t="n">
        <f aca="false">IF(G$135&lt;G$134,"Ei lasketa!",(H$136-D144/C$171)*(G$135/H$137))</f>
        <v>7.83184984520124</v>
      </c>
      <c r="F144" s="214" t="n">
        <f aca="false">IF(Laskelmat!G$135&lt;Laskelmat!G$134,"Ei lasketa",1000*F$139/(24*365*H144*($C$139+F$139/D$139)))</f>
        <v>231.118380498544</v>
      </c>
      <c r="G144" s="214" t="n">
        <f aca="false">IF(Laskelmat!G$135&lt;Laskelmat!G$134,"Ei lasketa",1000*G$139/(24*365*H144*($C$139+G$139/D$139)))</f>
        <v>261.644096037263</v>
      </c>
      <c r="H144" s="215" t="n">
        <v>4.98</v>
      </c>
      <c r="I144" s="4"/>
      <c r="J144" s="1"/>
      <c r="K144" s="1"/>
      <c r="L144" s="1"/>
      <c r="M144" s="216"/>
      <c r="N144" s="217"/>
      <c r="O144" s="217"/>
      <c r="P144" s="217"/>
      <c r="Q144" s="217"/>
      <c r="R144" s="217"/>
      <c r="S144" s="21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</row>
    <row r="145" customFormat="false" ht="17" hidden="false" customHeight="true" outlineLevel="0" collapsed="false">
      <c r="A145" s="4"/>
      <c r="B145" s="218" t="s">
        <v>116</v>
      </c>
      <c r="C145" s="219" t="n">
        <v>860</v>
      </c>
      <c r="D145" s="219" t="n">
        <v>5192</v>
      </c>
      <c r="E145" s="213" t="n">
        <f aca="false">IF(G$135&lt;G$134,"Ei lasketa!",(H$136-D145/C$171)*(G$135/H$137))</f>
        <v>7.7515479876161</v>
      </c>
      <c r="F145" s="220" t="n">
        <f aca="false">IF(Laskelmat!G$135&lt;Laskelmat!G$134,"Ei lasketa",1000*F$139/(24*365*H145*($C$139+F$139/D$139)))</f>
        <v>242.820576979483</v>
      </c>
      <c r="G145" s="220" t="n">
        <f aca="false">IF(Laskelmat!G$135&lt;Laskelmat!G$134,"Ei lasketa",1000*G$139/(24*365*H145*($C$139+G$139/D$139)))</f>
        <v>274.891898368264</v>
      </c>
      <c r="H145" s="221" t="n">
        <v>4.74</v>
      </c>
      <c r="I145" s="4"/>
      <c r="J145" s="1"/>
      <c r="K145" s="1"/>
      <c r="L145" s="1"/>
      <c r="M145" s="216"/>
      <c r="N145" s="217"/>
      <c r="O145" s="217"/>
      <c r="P145" s="217"/>
      <c r="Q145" s="217"/>
      <c r="R145" s="217"/>
      <c r="S145" s="21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</row>
    <row r="146" customFormat="false" ht="17" hidden="false" customHeight="true" outlineLevel="0" collapsed="false">
      <c r="A146" s="4"/>
      <c r="B146" s="211" t="s">
        <v>117</v>
      </c>
      <c r="C146" s="212" t="n">
        <v>923</v>
      </c>
      <c r="D146" s="212" t="n">
        <v>6231</v>
      </c>
      <c r="E146" s="213" t="n">
        <f aca="false">IF(G$135&lt;G$134,"Ei lasketa!",(H$136-D146/C$171)*(G$135/H$137))</f>
        <v>7.24893575851393</v>
      </c>
      <c r="F146" s="214" t="n">
        <f aca="false">IF(Laskelmat!G$135&lt;Laskelmat!G$134,"Ei lasketa",1000*F$139/(24*365*H146*($C$139+F$139/D$139)))</f>
        <v>390.159164367033</v>
      </c>
      <c r="G146" s="214" t="n">
        <f aca="false">IF(Laskelmat!G$135&lt;Laskelmat!G$134,"Ei lasketa",1000*G$139/(24*365*H146*($C$139+G$139/D$139)))</f>
        <v>441.690711276465</v>
      </c>
      <c r="H146" s="215" t="n">
        <v>2.95</v>
      </c>
      <c r="I146" s="4"/>
      <c r="J146" s="1"/>
      <c r="K146" s="1"/>
      <c r="L146" s="1"/>
      <c r="M146" s="216"/>
      <c r="N146" s="217"/>
      <c r="O146" s="217"/>
      <c r="P146" s="217"/>
      <c r="Q146" s="217"/>
      <c r="R146" s="217"/>
      <c r="S146" s="21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</row>
    <row r="147" customFormat="false" ht="17" hidden="false" customHeight="true" outlineLevel="0" collapsed="false">
      <c r="A147" s="4"/>
      <c r="B147" s="211" t="s">
        <v>118</v>
      </c>
      <c r="C147" s="212" t="n">
        <v>826</v>
      </c>
      <c r="D147" s="212" t="n">
        <v>4984</v>
      </c>
      <c r="E147" s="213" t="n">
        <f aca="false">IF(G$135&lt;G$134,"Ei lasketa!",(H$136-D147/C$171)*(G$135/H$137))</f>
        <v>7.85216718266254</v>
      </c>
      <c r="F147" s="214" t="n">
        <f aca="false">IF(Laskelmat!G$135&lt;Laskelmat!G$134,"Ei lasketa",1000*F$139/(24*365*H147*($C$139+F$139/D$139)))</f>
        <v>231.583407421076</v>
      </c>
      <c r="G147" s="214" t="n">
        <f aca="false">IF(Laskelmat!G$135&lt;Laskelmat!G$134,"Ei lasketa",1000*G$139/(24*365*H147*($C$139+G$139/D$139)))</f>
        <v>262.170542910578</v>
      </c>
      <c r="H147" s="215" t="n">
        <v>4.97</v>
      </c>
      <c r="I147" s="4"/>
      <c r="J147" s="1"/>
      <c r="K147" s="1"/>
      <c r="L147" s="1"/>
      <c r="M147" s="216"/>
      <c r="N147" s="217"/>
      <c r="O147" s="217"/>
      <c r="P147" s="217"/>
      <c r="Q147" s="217"/>
      <c r="R147" s="217"/>
      <c r="S147" s="21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</row>
    <row r="148" customFormat="false" ht="17" hidden="false" customHeight="true" outlineLevel="0" collapsed="false">
      <c r="A148" s="4"/>
      <c r="B148" s="211" t="s">
        <v>112</v>
      </c>
      <c r="C148" s="212" t="n">
        <v>785</v>
      </c>
      <c r="D148" s="212" t="n">
        <v>4832</v>
      </c>
      <c r="E148" s="213" t="n">
        <f aca="false">IF(G$135&lt;G$134,"Ei lasketa!",(H$136-D148/C$171)*(G$135/H$137))</f>
        <v>7.92569659442724</v>
      </c>
      <c r="F148" s="214" t="n">
        <f aca="false">IF(Laskelmat!G$135&lt;Laskelmat!G$134,"Ei lasketa",1000*F$139/(24*365*H148*($C$139+F$139/D$139)))</f>
        <v>208.131923125271</v>
      </c>
      <c r="G148" s="214" t="n">
        <f aca="false">IF(Laskelmat!G$135&lt;Laskelmat!G$134,"Ei lasketa",1000*G$139/(24*365*H148*($C$139+G$139/D$139)))</f>
        <v>235.621627172798</v>
      </c>
      <c r="H148" s="215" t="n">
        <v>5.53</v>
      </c>
      <c r="I148" s="4"/>
      <c r="J148" s="1"/>
      <c r="K148" s="1"/>
      <c r="L148" s="1"/>
      <c r="M148" s="216"/>
      <c r="N148" s="217"/>
      <c r="O148" s="217"/>
      <c r="P148" s="217"/>
      <c r="Q148" s="217"/>
      <c r="R148" s="217"/>
      <c r="S148" s="21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</row>
    <row r="149" customFormat="false" ht="17" hidden="false" customHeight="true" outlineLevel="0" collapsed="false">
      <c r="A149" s="4"/>
      <c r="B149" s="218" t="s">
        <v>119</v>
      </c>
      <c r="C149" s="219" t="n">
        <v>864</v>
      </c>
      <c r="D149" s="219" t="n">
        <v>5304</v>
      </c>
      <c r="E149" s="213" t="n">
        <f aca="false">IF(G$135&lt;G$134,"Ei lasketa!",(H$136-D149/C$171)*(G$135/H$137))</f>
        <v>7.69736842105263</v>
      </c>
      <c r="F149" s="220" t="n">
        <f aca="false">IF(Laskelmat!G$135&lt;Laskelmat!G$134,"Ei lasketa",1000*F$139/(24*365*H149*($C$139+F$139/D$139)))</f>
        <v>247.520330082311</v>
      </c>
      <c r="G149" s="220" t="n">
        <f aca="false">IF(Laskelmat!G$135&lt;Laskelmat!G$134,"Ei lasketa",1000*G$139/(24*365*H149*($C$139+G$139/D$139)))</f>
        <v>280.212386723779</v>
      </c>
      <c r="H149" s="221" t="n">
        <v>4.65</v>
      </c>
      <c r="I149" s="4"/>
      <c r="J149" s="1"/>
      <c r="K149" s="1"/>
      <c r="L149" s="1"/>
      <c r="M149" s="216"/>
      <c r="N149" s="217"/>
      <c r="O149" s="217"/>
      <c r="P149" s="217"/>
      <c r="Q149" s="217"/>
      <c r="R149" s="217"/>
      <c r="S149" s="21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</row>
    <row r="150" customFormat="false" ht="17" hidden="false" customHeight="true" outlineLevel="0" collapsed="false">
      <c r="A150" s="4"/>
      <c r="B150" s="211" t="s">
        <v>120</v>
      </c>
      <c r="C150" s="212" t="n">
        <v>858</v>
      </c>
      <c r="D150" s="212" t="n">
        <v>5268</v>
      </c>
      <c r="E150" s="213" t="n">
        <f aca="false">IF(G$135&lt;G$134,"Ei lasketa!",(H$136-D150/C$171)*(G$135/H$137))</f>
        <v>7.71478328173375</v>
      </c>
      <c r="F150" s="214" t="n">
        <f aca="false">IF(Laskelmat!G$135&lt;Laskelmat!G$134,"Ei lasketa",1000*F$139/(24*365*H150*($C$139+F$139/D$139)))</f>
        <v>248.589532372084</v>
      </c>
      <c r="G150" s="214" t="n">
        <f aca="false">IF(Laskelmat!G$135&lt;Laskelmat!G$134,"Ei lasketa",1000*G$139/(24*365*H150*($C$139+G$139/D$139)))</f>
        <v>281.422807400771</v>
      </c>
      <c r="H150" s="215" t="n">
        <v>4.63</v>
      </c>
      <c r="I150" s="4"/>
      <c r="J150" s="1"/>
      <c r="K150" s="1"/>
      <c r="L150" s="1"/>
      <c r="M150" s="216"/>
      <c r="N150" s="217"/>
      <c r="O150" s="217"/>
      <c r="P150" s="217"/>
      <c r="Q150" s="217"/>
      <c r="R150" s="217"/>
      <c r="S150" s="21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</row>
    <row r="151" customFormat="false" ht="17" hidden="false" customHeight="true" outlineLevel="0" collapsed="false">
      <c r="A151" s="4"/>
      <c r="B151" s="211" t="s">
        <v>121</v>
      </c>
      <c r="C151" s="212" t="n">
        <v>773</v>
      </c>
      <c r="D151" s="212" t="n">
        <v>4805</v>
      </c>
      <c r="E151" s="213" t="n">
        <f aca="false">IF(G$135&lt;G$134,"Ei lasketa!",(H$136-D151/C$171)*(G$135/H$137))</f>
        <v>7.93875773993808</v>
      </c>
      <c r="F151" s="214" t="n">
        <f aca="false">IF(Laskelmat!G$135&lt;Laskelmat!G$134,"Ei lasketa",1000*F$139/(24*365*H151*($C$139+F$139/D$139)))</f>
        <v>217.164063185424</v>
      </c>
      <c r="G151" s="214" t="n">
        <f aca="false">IF(Laskelmat!G$135&lt;Laskelmat!G$134,"Ei lasketa",1000*G$139/(24*365*H151*($C$139+G$139/D$139)))</f>
        <v>245.846716653881</v>
      </c>
      <c r="H151" s="215" t="n">
        <v>5.3</v>
      </c>
      <c r="I151" s="4"/>
      <c r="J151" s="1"/>
      <c r="K151" s="1"/>
      <c r="L151" s="1"/>
      <c r="M151" s="216"/>
      <c r="N151" s="217"/>
      <c r="O151" s="217"/>
      <c r="P151" s="217"/>
      <c r="Q151" s="217"/>
      <c r="R151" s="217"/>
      <c r="S151" s="21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</row>
    <row r="152" customFormat="false" ht="17" hidden="false" customHeight="true" outlineLevel="0" collapsed="false">
      <c r="A152" s="4"/>
      <c r="B152" s="211" t="s">
        <v>122</v>
      </c>
      <c r="C152" s="212" t="n">
        <v>703</v>
      </c>
      <c r="D152" s="212" t="n">
        <v>4224</v>
      </c>
      <c r="E152" s="213" t="n">
        <f aca="false">IF(G$135&lt;G$134,"Ei lasketa!",(H$136-D152/C$171)*(G$135/H$137))</f>
        <v>8.21981424148607</v>
      </c>
      <c r="F152" s="214" t="n">
        <f aca="false">IF(Laskelmat!G$135&lt;Laskelmat!G$134,"Ei lasketa",1000*F$139/(24*365*H152*($C$139+F$139/D$139)))</f>
        <v>187.454321642141</v>
      </c>
      <c r="G152" s="214" t="n">
        <f aca="false">IF(Laskelmat!G$135&lt;Laskelmat!G$134,"Ei lasketa",1000*G$139/(24*365*H152*($C$139+G$139/D$139)))</f>
        <v>212.212963886901</v>
      </c>
      <c r="H152" s="215" t="n">
        <v>6.14</v>
      </c>
      <c r="I152" s="4"/>
      <c r="J152" s="1"/>
      <c r="K152" s="1"/>
      <c r="L152" s="1"/>
      <c r="M152" s="216"/>
      <c r="N152" s="217"/>
      <c r="O152" s="217"/>
      <c r="P152" s="217"/>
      <c r="Q152" s="217"/>
      <c r="R152" s="217"/>
      <c r="S152" s="21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</row>
    <row r="153" customFormat="false" ht="17" hidden="false" customHeight="true" outlineLevel="0" collapsed="false">
      <c r="A153" s="4"/>
      <c r="B153" s="218" t="s">
        <v>123</v>
      </c>
      <c r="C153" s="219" t="n">
        <v>726</v>
      </c>
      <c r="D153" s="219" t="n">
        <v>4392</v>
      </c>
      <c r="E153" s="213" t="n">
        <f aca="false">IF(G$135&lt;G$134,"Ei lasketa!",(H$136-D153/C$171)*(G$135/H$137))</f>
        <v>8.13854489164087</v>
      </c>
      <c r="F153" s="220" t="n">
        <f aca="false">IF(Laskelmat!G$135&lt;Laskelmat!G$134,"Ei lasketa",1000*F$139/(24*365*H153*($C$139+F$139/D$139)))</f>
        <v>195.079582183516</v>
      </c>
      <c r="G153" s="220" t="n">
        <f aca="false">IF(Laskelmat!G$135&lt;Laskelmat!G$134,"Ei lasketa",1000*G$139/(24*365*H153*($C$139+G$139/D$139)))</f>
        <v>220.845355638232</v>
      </c>
      <c r="H153" s="221" t="n">
        <v>5.9</v>
      </c>
      <c r="I153" s="4"/>
      <c r="J153" s="1"/>
      <c r="K153" s="1"/>
      <c r="L153" s="1"/>
      <c r="M153" s="216"/>
      <c r="N153" s="217"/>
      <c r="O153" s="217"/>
      <c r="P153" s="217"/>
      <c r="Q153" s="217"/>
      <c r="R153" s="217"/>
      <c r="S153" s="21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</row>
    <row r="154" customFormat="false" ht="17" hidden="false" customHeight="true" outlineLevel="0" collapsed="false">
      <c r="A154" s="4"/>
      <c r="B154" s="211" t="s">
        <v>124</v>
      </c>
      <c r="C154" s="212" t="n">
        <v>691</v>
      </c>
      <c r="D154" s="212" t="n">
        <v>4297</v>
      </c>
      <c r="E154" s="213" t="n">
        <f aca="false">IF(G$135&lt;G$134,"Ei lasketa!",(H$136-D154/C$171)*(G$135/H$137))</f>
        <v>8.18450077399381</v>
      </c>
      <c r="F154" s="214" t="n">
        <f aca="false">IF(Laskelmat!G$135&lt;Laskelmat!G$134,"Ei lasketa",1000*F$139/(24*365*H154*($C$139+F$139/D$139)))</f>
        <v>190.5578700137</v>
      </c>
      <c r="G154" s="214" t="n">
        <f aca="false">IF(Laskelmat!G$135&lt;Laskelmat!G$134,"Ei lasketa",1000*G$139/(24*365*H154*($C$139+G$139/D$139)))</f>
        <v>215.726423553902</v>
      </c>
      <c r="H154" s="215" t="n">
        <v>6.04</v>
      </c>
      <c r="I154" s="4"/>
      <c r="J154" s="1"/>
      <c r="K154" s="1"/>
      <c r="L154" s="1"/>
      <c r="M154" s="216"/>
      <c r="N154" s="217"/>
      <c r="O154" s="217"/>
      <c r="P154" s="217"/>
      <c r="Q154" s="217"/>
      <c r="R154" s="217"/>
      <c r="S154" s="21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</row>
    <row r="155" customFormat="false" ht="17" hidden="false" customHeight="true" outlineLevel="0" collapsed="false">
      <c r="A155" s="4"/>
      <c r="B155" s="211" t="s">
        <v>125</v>
      </c>
      <c r="C155" s="212" t="n">
        <v>812</v>
      </c>
      <c r="D155" s="212" t="n">
        <v>4825</v>
      </c>
      <c r="E155" s="213" t="n">
        <f aca="false">IF(G$135&lt;G$134,"Ei lasketa!",(H$136-D155/C$171)*(G$135/H$137))</f>
        <v>7.92908281733746</v>
      </c>
      <c r="F155" s="214" t="n">
        <f aca="false">IF(Laskelmat!G$135&lt;Laskelmat!G$134,"Ei lasketa",1000*F$139/(24*365*H155*($C$139+F$139/D$139)))</f>
        <v>221.340295169759</v>
      </c>
      <c r="G155" s="214" t="n">
        <f aca="false">IF(Laskelmat!G$135&lt;Laskelmat!G$134,"Ei lasketa",1000*G$139/(24*365*H155*($C$139+G$139/D$139)))</f>
        <v>250.574538127994</v>
      </c>
      <c r="H155" s="215" t="n">
        <v>5.2</v>
      </c>
      <c r="I155" s="4"/>
      <c r="J155" s="1"/>
      <c r="K155" s="1"/>
      <c r="L155" s="1"/>
      <c r="M155" s="216"/>
      <c r="N155" s="217"/>
      <c r="O155" s="217"/>
      <c r="P155" s="7"/>
      <c r="Q155" s="217"/>
      <c r="R155" s="217"/>
      <c r="S155" s="21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</row>
    <row r="156" customFormat="false" ht="17" hidden="false" customHeight="true" outlineLevel="0" collapsed="false">
      <c r="A156" s="4"/>
      <c r="B156" s="211" t="s">
        <v>126</v>
      </c>
      <c r="C156" s="212" t="n">
        <v>726</v>
      </c>
      <c r="D156" s="212" t="n">
        <v>4392</v>
      </c>
      <c r="E156" s="213" t="n">
        <f aca="false">IF(G$135&lt;G$134,"Ei lasketa!",(H$136-D156/C$171)*(G$135/H$137))</f>
        <v>8.13854489164087</v>
      </c>
      <c r="F156" s="214" t="n">
        <f aca="false">IF(Laskelmat!G$135&lt;Laskelmat!G$134,"Ei lasketa",1000*F$139/(24*365*H156*($C$139+F$139/D$139)))</f>
        <v>195.079582183516</v>
      </c>
      <c r="G156" s="214" t="n">
        <f aca="false">IF(Laskelmat!G$135&lt;Laskelmat!G$134,"Ei lasketa",1000*G$139/(24*365*H156*($C$139+G$139/D$139)))</f>
        <v>220.845355638232</v>
      </c>
      <c r="H156" s="215" t="n">
        <v>5.9</v>
      </c>
      <c r="I156" s="4"/>
      <c r="J156" s="1"/>
      <c r="K156" s="1"/>
      <c r="L156" s="1"/>
      <c r="M156" s="216"/>
      <c r="N156" s="217"/>
      <c r="O156" s="217"/>
      <c r="P156" s="217"/>
      <c r="Q156" s="217"/>
      <c r="R156" s="217"/>
      <c r="S156" s="21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</row>
    <row r="157" customFormat="false" ht="17" hidden="false" customHeight="true" outlineLevel="0" collapsed="false">
      <c r="A157" s="4"/>
      <c r="B157" s="218" t="s">
        <v>127</v>
      </c>
      <c r="C157" s="219" t="n">
        <v>759</v>
      </c>
      <c r="D157" s="219" t="n">
        <v>4510</v>
      </c>
      <c r="E157" s="213" t="n">
        <f aca="false">IF(G$135&lt;G$134,"Ei lasketa!",(H$136-D157/C$171)*(G$135/H$137))</f>
        <v>8.08146284829721</v>
      </c>
      <c r="F157" s="220" t="n">
        <f aca="false">IF(Laskelmat!G$135&lt;Laskelmat!G$134,"Ei lasketa",1000*F$139/(24*365*H157*($C$139+F$139/D$139)))</f>
        <v>200.86728357465</v>
      </c>
      <c r="G157" s="220" t="n">
        <f aca="false">IF(Laskelmat!G$135&lt;Laskelmat!G$134,"Ei lasketa",1000*G$139/(24*365*H157*($C$139+G$139/D$139)))</f>
        <v>227.397486608302</v>
      </c>
      <c r="H157" s="221" t="n">
        <v>5.73</v>
      </c>
      <c r="I157" s="4"/>
      <c r="J157" s="1"/>
      <c r="K157" s="1"/>
      <c r="L157" s="1"/>
      <c r="M157" s="216"/>
      <c r="N157" s="217"/>
      <c r="O157" s="217"/>
      <c r="P157" s="217"/>
      <c r="Q157" s="217"/>
      <c r="R157" s="217"/>
      <c r="S157" s="21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</row>
    <row r="158" customFormat="false" ht="17" hidden="false" customHeight="true" outlineLevel="0" collapsed="false">
      <c r="A158" s="4"/>
      <c r="B158" s="211" t="s">
        <v>128</v>
      </c>
      <c r="C158" s="212" t="n">
        <v>592</v>
      </c>
      <c r="D158" s="212" t="n">
        <v>3803</v>
      </c>
      <c r="E158" s="213" t="n">
        <f aca="false">IF(G$135&lt;G$134,"Ei lasketa!",(H$136-D158/C$171)*(G$135/H$137))</f>
        <v>8.4234713622291</v>
      </c>
      <c r="F158" s="214" t="n">
        <f aca="false">IF(Laskelmat!G$135&lt;Laskelmat!G$134,"Ei lasketa",1000*F$139/(24*365*H158*($C$139+F$139/D$139)))</f>
        <v>167.779815580575</v>
      </c>
      <c r="G158" s="214" t="n">
        <f aca="false">IF(Laskelmat!G$135&lt;Laskelmat!G$134,"Ei lasketa",1000*G$139/(24*365*H158*($C$139+G$139/D$139)))</f>
        <v>189.939883129092</v>
      </c>
      <c r="H158" s="215" t="n">
        <v>6.86</v>
      </c>
      <c r="I158" s="4"/>
      <c r="J158" s="1"/>
      <c r="K158" s="1"/>
      <c r="L158" s="1"/>
      <c r="M158" s="216"/>
      <c r="N158" s="217"/>
      <c r="O158" s="217"/>
      <c r="P158" s="217"/>
      <c r="Q158" s="217"/>
      <c r="R158" s="217"/>
      <c r="S158" s="21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</row>
    <row r="159" customFormat="false" ht="17" hidden="false" customHeight="true" outlineLevel="0" collapsed="false">
      <c r="A159" s="4"/>
      <c r="B159" s="211" t="s">
        <v>129</v>
      </c>
      <c r="C159" s="212" t="n">
        <v>824</v>
      </c>
      <c r="D159" s="212" t="n">
        <v>5057</v>
      </c>
      <c r="E159" s="213" t="n">
        <f aca="false">IF(G$135&lt;G$134,"Ei lasketa!",(H$136-D159/C$171)*(G$135/H$137))</f>
        <v>7.81685371517028</v>
      </c>
      <c r="F159" s="214" t="n">
        <f aca="false">IF(Laskelmat!G$135&lt;Laskelmat!G$134,"Ei lasketa",1000*F$139/(24*365*H159*($C$139+F$139/D$139)))</f>
        <v>244.367204858333</v>
      </c>
      <c r="G159" s="214" t="n">
        <f aca="false">IF(Laskelmat!G$135&lt;Laskelmat!G$134,"Ei lasketa",1000*G$139/(24*365*H159*($C$139+G$139/D$139)))</f>
        <v>276.642802179527</v>
      </c>
      <c r="H159" s="215" t="n">
        <v>4.71</v>
      </c>
      <c r="I159" s="4"/>
      <c r="J159" s="1"/>
      <c r="K159" s="1"/>
      <c r="L159" s="1"/>
      <c r="M159" s="216"/>
      <c r="N159" s="217"/>
      <c r="O159" s="217"/>
      <c r="P159" s="217"/>
      <c r="Q159" s="217"/>
      <c r="R159" s="217"/>
      <c r="S159" s="21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</row>
    <row r="160" customFormat="false" ht="17" hidden="false" customHeight="true" outlineLevel="0" collapsed="false">
      <c r="A160" s="4"/>
      <c r="B160" s="211" t="s">
        <v>130</v>
      </c>
      <c r="C160" s="212" t="n">
        <v>677</v>
      </c>
      <c r="D160" s="212" t="n">
        <v>4161</v>
      </c>
      <c r="E160" s="213" t="n">
        <f aca="false">IF(G$135&lt;G$134,"Ei lasketa!",(H$136-D160/C$171)*(G$135/H$137))</f>
        <v>8.25029024767802</v>
      </c>
      <c r="F160" s="214" t="n">
        <f aca="false">IF(Laskelmat!G$135&lt;Laskelmat!G$134,"Ei lasketa",1000*F$139/(24*365*H160*($C$139+F$139/D$139)))</f>
        <v>186.542874373217</v>
      </c>
      <c r="G160" s="214" t="n">
        <f aca="false">IF(Laskelmat!G$135&lt;Laskelmat!G$134,"Ei lasketa",1000*G$139/(24*365*H160*($C$139+G$139/D$139)))</f>
        <v>211.181134240773</v>
      </c>
      <c r="H160" s="215" t="n">
        <v>6.17</v>
      </c>
      <c r="I160" s="4"/>
      <c r="J160" s="1"/>
      <c r="K160" s="1"/>
      <c r="L160" s="1"/>
      <c r="M160" s="216"/>
      <c r="N160" s="217"/>
      <c r="O160" s="217"/>
      <c r="P160" s="217"/>
      <c r="Q160" s="217"/>
      <c r="R160" s="217"/>
      <c r="S160" s="21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</row>
    <row r="161" customFormat="false" ht="17" hidden="false" customHeight="true" outlineLevel="0" collapsed="false">
      <c r="A161" s="4"/>
      <c r="B161" s="218" t="s">
        <v>131</v>
      </c>
      <c r="C161" s="219" t="n">
        <v>867</v>
      </c>
      <c r="D161" s="219" t="n">
        <v>5323</v>
      </c>
      <c r="E161" s="213" t="n">
        <f aca="false">IF(G$135&lt;G$134,"Ei lasketa!",(H$136-D161/C$171)*(G$135/H$137))</f>
        <v>7.68817724458204</v>
      </c>
      <c r="F161" s="220" t="n">
        <f aca="false">IF(Laskelmat!G$135&lt;Laskelmat!G$134,"Ei lasketa",1000*F$139/(24*365*H161*($C$139+F$139/D$139)))</f>
        <v>252.960337336868</v>
      </c>
      <c r="G161" s="220" t="n">
        <f aca="false">IF(Laskelmat!G$135&lt;Laskelmat!G$134,"Ei lasketa",1000*G$139/(24*365*H161*($C$139+G$139/D$139)))</f>
        <v>286.370900717708</v>
      </c>
      <c r="H161" s="221" t="n">
        <v>4.55</v>
      </c>
      <c r="I161" s="6"/>
      <c r="J161" s="1"/>
      <c r="K161" s="1"/>
      <c r="L161" s="1"/>
      <c r="M161" s="216"/>
      <c r="N161" s="217"/>
      <c r="O161" s="217"/>
      <c r="P161" s="217"/>
      <c r="Q161" s="217"/>
      <c r="R161" s="217"/>
      <c r="S161" s="21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</row>
    <row r="162" customFormat="false" ht="17" hidden="false" customHeight="true" outlineLevel="0" collapsed="false">
      <c r="A162" s="4"/>
      <c r="B162" s="211" t="s">
        <v>132</v>
      </c>
      <c r="C162" s="212" t="n">
        <v>719</v>
      </c>
      <c r="D162" s="212" t="n">
        <v>4469</v>
      </c>
      <c r="E162" s="213" t="n">
        <f aca="false">IF(G$135&lt;G$134,"Ei lasketa!",(H$136-D162/C$171)*(G$135/H$137))</f>
        <v>8.10129643962848</v>
      </c>
      <c r="F162" s="214" t="n">
        <f aca="false">IF(Laskelmat!G$135&lt;Laskelmat!G$134,"Ei lasketa",1000*F$139/(24*365*H162*($C$139+F$139/D$139)))</f>
        <v>198.785757319991</v>
      </c>
      <c r="G162" s="214" t="n">
        <f aca="false">IF(Laskelmat!G$135&lt;Laskelmat!G$134,"Ei lasketa",1000*G$139/(24*365*H162*($C$139+G$139/D$139)))</f>
        <v>225.041035969874</v>
      </c>
      <c r="H162" s="215" t="n">
        <v>5.79</v>
      </c>
      <c r="I162" s="4"/>
      <c r="J162" s="1"/>
      <c r="K162" s="1"/>
      <c r="L162" s="1"/>
      <c r="M162" s="216"/>
      <c r="N162" s="217"/>
      <c r="O162" s="217"/>
      <c r="P162" s="217"/>
      <c r="Q162" s="217"/>
      <c r="R162" s="217"/>
      <c r="S162" s="21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</row>
    <row r="163" customFormat="false" ht="17" hidden="false" customHeight="true" outlineLevel="0" collapsed="false">
      <c r="A163" s="4"/>
      <c r="B163" s="211" t="s">
        <v>133</v>
      </c>
      <c r="C163" s="212" t="n">
        <v>946</v>
      </c>
      <c r="D163" s="212" t="n">
        <v>6180</v>
      </c>
      <c r="E163" s="213" t="n">
        <f aca="false">IF(G$135&lt;G$134,"Ei lasketa!",(H$136-D163/C$171)*(G$135/H$137))</f>
        <v>7.27360681114551</v>
      </c>
      <c r="F163" s="214" t="n">
        <f aca="false">IF(Laskelmat!G$135&lt;Laskelmat!G$134,"Ei lasketa",1000*F$139/(24*365*H163*($C$139+F$139/D$139)))</f>
        <v>379.857932304537</v>
      </c>
      <c r="G163" s="214" t="n">
        <f aca="false">IF(Laskelmat!G$135&lt;Laskelmat!G$134,"Ei lasketa",1000*G$139/(24*365*H163*($C$139+G$139/D$139)))</f>
        <v>430.02891031867</v>
      </c>
      <c r="H163" s="215" t="n">
        <v>3.03</v>
      </c>
      <c r="I163" s="4"/>
      <c r="J163" s="1"/>
      <c r="K163" s="1"/>
      <c r="L163" s="1"/>
      <c r="M163" s="216"/>
      <c r="N163" s="217"/>
      <c r="O163" s="217"/>
      <c r="P163" s="217"/>
      <c r="Q163" s="217"/>
      <c r="R163" s="217"/>
      <c r="S163" s="21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</row>
    <row r="164" customFormat="false" ht="17" hidden="false" customHeight="true" outlineLevel="0" collapsed="false">
      <c r="A164" s="4"/>
      <c r="B164" s="211" t="s">
        <v>134</v>
      </c>
      <c r="C164" s="212" t="n">
        <v>724</v>
      </c>
      <c r="D164" s="212" t="n">
        <v>4424</v>
      </c>
      <c r="E164" s="213" t="n">
        <f aca="false">IF(G$135&lt;G$134,"Ei lasketa!",(H$136-D164/C$171)*(G$135/H$137))</f>
        <v>8.12306501547988</v>
      </c>
      <c r="F164" s="214" t="n">
        <f aca="false">IF(Laskelmat!G$135&lt;Laskelmat!G$134,"Ei lasketa",1000*F$139/(24*365*H164*($C$139+F$139/D$139)))</f>
        <v>196.746929039786</v>
      </c>
      <c r="G164" s="214" t="n">
        <f aca="false">IF(Laskelmat!G$135&lt;Laskelmat!G$134,"Ei lasketa",1000*G$139/(24*365*H164*($C$139+G$139/D$139)))</f>
        <v>222.732922780439</v>
      </c>
      <c r="H164" s="215" t="n">
        <v>5.85</v>
      </c>
      <c r="I164" s="4"/>
      <c r="K164" s="1"/>
      <c r="L164" s="1"/>
      <c r="M164" s="216"/>
      <c r="N164" s="217"/>
      <c r="O164" s="217"/>
      <c r="P164" s="217"/>
      <c r="Q164" s="217"/>
      <c r="R164" s="217"/>
      <c r="S164" s="21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</row>
    <row r="165" customFormat="false" ht="17" hidden="false" customHeight="true" outlineLevel="0" collapsed="false">
      <c r="A165" s="4"/>
      <c r="B165" s="218" t="s">
        <v>135</v>
      </c>
      <c r="C165" s="219" t="n">
        <v>663</v>
      </c>
      <c r="D165" s="219" t="n">
        <v>4021</v>
      </c>
      <c r="E165" s="213" t="n">
        <f aca="false">IF(G$135&lt;G$134,"Ei lasketa!",(H$136-D165/C$171)*(G$135/H$137))</f>
        <v>8.31801470588235</v>
      </c>
      <c r="F165" s="220" t="n">
        <f aca="false">IF(Laskelmat!G$135&lt;Laskelmat!G$134,"Ei lasketa",1000*F$139/(24*365*H165*($C$139+F$139/D$139)))</f>
        <v>175.720539676755</v>
      </c>
      <c r="G165" s="220" t="n">
        <f aca="false">IF(Laskelmat!G$135&lt;Laskelmat!G$134,"Ei lasketa",1000*G$139/(24*365*H165*($C$139+G$139/D$139)))</f>
        <v>198.929404315354</v>
      </c>
      <c r="H165" s="221" t="n">
        <v>6.55</v>
      </c>
      <c r="I165" s="4"/>
      <c r="K165" s="1"/>
      <c r="L165" s="1"/>
      <c r="M165" s="216"/>
      <c r="N165" s="217"/>
      <c r="O165" s="217"/>
      <c r="P165" s="217"/>
      <c r="Q165" s="217"/>
      <c r="R165" s="217"/>
      <c r="S165" s="21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</row>
    <row r="166" customFormat="false" ht="17" hidden="false" customHeight="true" outlineLevel="0" collapsed="false">
      <c r="A166" s="4"/>
      <c r="B166" s="211" t="s">
        <v>136</v>
      </c>
      <c r="C166" s="212" t="n">
        <v>719</v>
      </c>
      <c r="D166" s="212" t="n">
        <v>4469</v>
      </c>
      <c r="E166" s="213" t="n">
        <f aca="false">IF(G$135&lt;G$134,"Ei lasketa!",(H$136-D166/C$171)*(G$135/H$137))</f>
        <v>8.10129643962848</v>
      </c>
      <c r="F166" s="214" t="n">
        <f aca="false">IF(Laskelmat!G$135&lt;Laskelmat!G$134,"Ei lasketa",1000*F$139/(24*365*H166*($C$139+F$139/D$139)))</f>
        <v>198.785757319991</v>
      </c>
      <c r="G166" s="214" t="n">
        <f aca="false">IF(Laskelmat!G$135&lt;Laskelmat!G$134,"Ei lasketa",1000*G$139/(24*365*H166*($C$139+G$139/D$139)))</f>
        <v>225.041035969874</v>
      </c>
      <c r="H166" s="215" t="n">
        <v>5.79</v>
      </c>
      <c r="I166" s="4"/>
      <c r="K166" s="1"/>
      <c r="L166" s="1"/>
      <c r="M166" s="216"/>
      <c r="N166" s="217"/>
      <c r="O166" s="217"/>
      <c r="P166" s="217"/>
      <c r="Q166" s="217"/>
      <c r="R166" s="217"/>
      <c r="S166" s="21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</row>
    <row r="167" customFormat="false" ht="17" hidden="false" customHeight="true" outlineLevel="0" collapsed="false">
      <c r="A167" s="4"/>
      <c r="B167" s="211" t="s">
        <v>137</v>
      </c>
      <c r="C167" s="212" t="n">
        <v>682</v>
      </c>
      <c r="D167" s="212" t="n">
        <v>4097</v>
      </c>
      <c r="E167" s="213" t="n">
        <f aca="false">IF(G$135&lt;G$134,"Ei lasketa!",(H$136-D167/C$171)*(G$135/H$137))</f>
        <v>8.28125</v>
      </c>
      <c r="F167" s="214" t="n">
        <f aca="false">IF(Laskelmat!G$135&lt;Laskelmat!G$134,"Ei lasketa",1000*F$139/(24*365*H167*($C$139+F$139/D$139)))</f>
        <v>180.12042799417</v>
      </c>
      <c r="G167" s="214" t="n">
        <f aca="false">IF(Laskelmat!G$135&lt;Laskelmat!G$134,"Ei lasketa",1000*G$139/(24*365*H167*($C$139+G$139/D$139)))</f>
        <v>203.910422263783</v>
      </c>
      <c r="H167" s="215" t="n">
        <v>6.39</v>
      </c>
      <c r="I167" s="6"/>
      <c r="K167" s="1"/>
      <c r="L167" s="1"/>
      <c r="M167" s="216"/>
      <c r="N167" s="217"/>
      <c r="O167" s="217"/>
      <c r="P167" s="217"/>
      <c r="Q167" s="217"/>
      <c r="R167" s="217"/>
      <c r="S167" s="21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</row>
    <row r="168" customFormat="false" ht="17" hidden="false" customHeight="true" outlineLevel="0" collapsed="false">
      <c r="A168" s="4"/>
      <c r="B168" s="211" t="s">
        <v>138</v>
      </c>
      <c r="C168" s="212" t="n">
        <v>816</v>
      </c>
      <c r="D168" s="212" t="n">
        <v>5007</v>
      </c>
      <c r="E168" s="213" t="n">
        <f aca="false">IF(G$135&lt;G$134,"Ei lasketa!",(H$136-D168/C$171)*(G$135/H$137))</f>
        <v>7.84104102167183</v>
      </c>
      <c r="F168" s="214" t="n">
        <f aca="false">IF(Laskelmat!G$135&lt;Laskelmat!G$134,"Ei lasketa",1000*F$139/(24*365*H168*($C$139+F$139/D$139)))</f>
        <v>229.734438100349</v>
      </c>
      <c r="G168" s="214" t="n">
        <f aca="false">IF(Laskelmat!G$135&lt;Laskelmat!G$134,"Ei lasketa",1000*G$139/(24*365*H168*($C$139+G$139/D$139)))</f>
        <v>260.077364923268</v>
      </c>
      <c r="H168" s="215" t="n">
        <v>5.01</v>
      </c>
      <c r="I168" s="4"/>
      <c r="K168" s="1"/>
      <c r="L168" s="1"/>
      <c r="M168" s="216"/>
      <c r="N168" s="217"/>
      <c r="O168" s="217"/>
      <c r="P168" s="217"/>
      <c r="Q168" s="217"/>
      <c r="R168" s="217"/>
      <c r="S168" s="21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</row>
    <row r="169" customFormat="false" ht="14.15" hidden="true" customHeight="true" outlineLevel="0" collapsed="false">
      <c r="A169" s="4"/>
      <c r="I169" s="4"/>
      <c r="K169" s="1"/>
      <c r="L169" s="1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customFormat="false" ht="18.45" hidden="true" customHeight="true" outlineLevel="0" collapsed="false">
      <c r="A170" s="4"/>
      <c r="I170" s="4"/>
      <c r="J170" s="1"/>
      <c r="K170" s="1"/>
      <c r="L170" s="1"/>
      <c r="M170" s="7"/>
      <c r="N170" s="7"/>
      <c r="O170" s="7"/>
    </row>
    <row r="171" customFormat="false" ht="18.45" hidden="true" customHeight="true" outlineLevel="0" collapsed="false">
      <c r="A171" s="4"/>
      <c r="B171" s="222" t="s">
        <v>139</v>
      </c>
      <c r="C171" s="223" t="n">
        <v>272</v>
      </c>
      <c r="D171" s="223"/>
      <c r="I171" s="6"/>
      <c r="J171" s="7"/>
      <c r="K171" s="7"/>
      <c r="L171" s="7"/>
      <c r="M171" s="7"/>
      <c r="N171" s="7"/>
      <c r="O171" s="7"/>
    </row>
    <row r="172" customFormat="false" ht="18.45" hidden="true" customHeight="true" outlineLevel="0" collapsed="false">
      <c r="A172" s="4"/>
      <c r="B172" s="224" t="s">
        <v>140</v>
      </c>
      <c r="C172" s="224" t="n">
        <v>1</v>
      </c>
      <c r="I172" s="6"/>
      <c r="J172" s="7"/>
      <c r="K172" s="7"/>
      <c r="L172" s="7"/>
      <c r="M172" s="7"/>
      <c r="N172" s="7"/>
      <c r="O172" s="7"/>
    </row>
    <row r="173" customFormat="false" ht="18.45" hidden="true" customHeight="true" outlineLevel="0" collapsed="false">
      <c r="A173" s="4"/>
      <c r="B173" s="224" t="s">
        <v>27</v>
      </c>
      <c r="C173" s="224" t="n">
        <v>60</v>
      </c>
      <c r="I173" s="6"/>
      <c r="J173" s="7"/>
      <c r="K173" s="7"/>
      <c r="L173" s="7"/>
      <c r="M173" s="7"/>
      <c r="N173" s="7"/>
      <c r="O173" s="7"/>
    </row>
    <row r="174" customFormat="false" ht="18.45" hidden="true" customHeight="true" outlineLevel="0" collapsed="false">
      <c r="A174" s="4"/>
      <c r="B174" s="224" t="s">
        <v>141</v>
      </c>
      <c r="C174" s="224" t="n">
        <v>3600</v>
      </c>
      <c r="I174" s="6"/>
      <c r="J174" s="7"/>
      <c r="K174" s="7"/>
      <c r="L174" s="7"/>
      <c r="M174" s="7"/>
      <c r="N174" s="7"/>
      <c r="O174" s="7"/>
    </row>
    <row r="175" customFormat="false" ht="13.8" hidden="true" customHeight="true" outlineLevel="0" collapsed="false">
      <c r="A175" s="4"/>
      <c r="I175" s="6"/>
      <c r="J175" s="7"/>
      <c r="K175" s="7"/>
      <c r="L175" s="7"/>
      <c r="M175" s="7"/>
      <c r="N175" s="7"/>
      <c r="O175" s="7"/>
    </row>
    <row r="176" customFormat="false" ht="13.8" hidden="true" customHeight="true" outlineLevel="0" collapsed="false">
      <c r="A176" s="4"/>
      <c r="I176" s="6"/>
      <c r="J176" s="7"/>
      <c r="K176" s="7"/>
      <c r="L176" s="7"/>
      <c r="M176" s="7"/>
      <c r="N176" s="7"/>
      <c r="O176" s="7"/>
    </row>
    <row r="177" customFormat="false" ht="14.9" hidden="true" customHeight="true" outlineLevel="0" collapsed="false">
      <c r="A177" s="4"/>
      <c r="B177" s="225"/>
      <c r="C177" s="226" t="s">
        <v>142</v>
      </c>
      <c r="D177" s="226" t="s">
        <v>143</v>
      </c>
      <c r="E177" s="226" t="s">
        <v>144</v>
      </c>
      <c r="F177" s="226" t="s">
        <v>145</v>
      </c>
      <c r="G177" s="226" t="s">
        <v>146</v>
      </c>
      <c r="H177" s="226" t="s">
        <v>147</v>
      </c>
      <c r="I177" s="227" t="s">
        <v>148</v>
      </c>
      <c r="J177" s="199" t="s">
        <v>149</v>
      </c>
      <c r="K177" s="199" t="s">
        <v>150</v>
      </c>
      <c r="L177" s="199" t="s">
        <v>151</v>
      </c>
      <c r="M177" s="199" t="s">
        <v>152</v>
      </c>
      <c r="N177" s="199" t="s">
        <v>153</v>
      </c>
      <c r="O177" s="199" t="s">
        <v>154</v>
      </c>
    </row>
    <row r="178" customFormat="false" ht="13.8" hidden="true" customHeight="true" outlineLevel="0" collapsed="false">
      <c r="A178" s="4"/>
      <c r="B178" s="225" t="s">
        <v>155</v>
      </c>
      <c r="C178" s="135" t="n">
        <v>710</v>
      </c>
      <c r="D178" s="135"/>
      <c r="E178" s="135"/>
      <c r="F178" s="135"/>
      <c r="G178" s="135"/>
      <c r="H178" s="135"/>
      <c r="I178" s="6"/>
      <c r="J178" s="7"/>
      <c r="K178" s="7"/>
      <c r="L178" s="7"/>
      <c r="M178" s="7"/>
      <c r="N178" s="3"/>
      <c r="O178" s="3" t="n">
        <v>4268</v>
      </c>
    </row>
    <row r="179" customFormat="false" ht="14.9" hidden="true" customHeight="true" outlineLevel="0" collapsed="false">
      <c r="A179" s="4"/>
      <c r="B179" s="151" t="s">
        <v>113</v>
      </c>
      <c r="C179" s="151" t="n">
        <v>647</v>
      </c>
      <c r="D179" s="151" t="n">
        <v>612</v>
      </c>
      <c r="E179" s="151" t="n">
        <v>566</v>
      </c>
      <c r="F179" s="151" t="n">
        <v>383</v>
      </c>
      <c r="G179" s="151" t="n">
        <v>153</v>
      </c>
      <c r="H179" s="151" t="n">
        <v>11</v>
      </c>
      <c r="I179" s="228" t="n">
        <v>1</v>
      </c>
      <c r="J179" s="216" t="n">
        <v>12</v>
      </c>
      <c r="K179" s="216" t="n">
        <v>125</v>
      </c>
      <c r="L179" s="216" t="n">
        <v>316</v>
      </c>
      <c r="M179" s="216" t="n">
        <v>464</v>
      </c>
      <c r="N179" s="216" t="n">
        <v>588</v>
      </c>
      <c r="O179" s="216" t="n">
        <v>3878</v>
      </c>
    </row>
    <row r="180" customFormat="false" ht="13.8" hidden="true" customHeight="true" outlineLevel="0" collapsed="false">
      <c r="A180" s="4"/>
      <c r="B180" s="225" t="s">
        <v>116</v>
      </c>
      <c r="C180" s="135" t="n">
        <v>860</v>
      </c>
      <c r="D180" s="135"/>
      <c r="E180" s="135"/>
      <c r="F180" s="135"/>
      <c r="G180" s="135"/>
      <c r="H180" s="135"/>
      <c r="I180" s="6"/>
      <c r="J180" s="7"/>
      <c r="K180" s="7"/>
      <c r="L180" s="7"/>
      <c r="M180" s="7"/>
      <c r="N180" s="3"/>
      <c r="O180" s="3" t="n">
        <v>5192</v>
      </c>
    </row>
    <row r="181" customFormat="false" ht="14.9" hidden="true" customHeight="true" outlineLevel="0" collapsed="false">
      <c r="A181" s="4"/>
      <c r="B181" s="151" t="s">
        <v>117</v>
      </c>
      <c r="C181" s="151" t="n">
        <v>923</v>
      </c>
      <c r="D181" s="151" t="n">
        <v>819</v>
      </c>
      <c r="E181" s="151" t="n">
        <v>755</v>
      </c>
      <c r="F181" s="151" t="n">
        <v>557</v>
      </c>
      <c r="G181" s="151" t="n">
        <v>377</v>
      </c>
      <c r="H181" s="151" t="n">
        <v>146</v>
      </c>
      <c r="I181" s="228" t="n">
        <v>69</v>
      </c>
      <c r="J181" s="216" t="n">
        <v>147</v>
      </c>
      <c r="K181" s="216" t="n">
        <v>318</v>
      </c>
      <c r="L181" s="216" t="n">
        <v>523</v>
      </c>
      <c r="M181" s="216" t="n">
        <v>722</v>
      </c>
      <c r="N181" s="216" t="n">
        <v>875</v>
      </c>
      <c r="O181" s="216" t="n">
        <v>6231</v>
      </c>
    </row>
    <row r="182" customFormat="false" ht="14.9" hidden="true" customHeight="true" outlineLevel="0" collapsed="false">
      <c r="A182" s="4"/>
      <c r="B182" s="151" t="s">
        <v>118</v>
      </c>
      <c r="C182" s="151" t="n">
        <v>826</v>
      </c>
      <c r="D182" s="151" t="n">
        <v>753</v>
      </c>
      <c r="E182" s="151" t="n">
        <v>665</v>
      </c>
      <c r="F182" s="151" t="n">
        <v>456</v>
      </c>
      <c r="G182" s="151" t="n">
        <v>216</v>
      </c>
      <c r="H182" s="151" t="n">
        <v>39</v>
      </c>
      <c r="I182" s="228" t="n">
        <v>10</v>
      </c>
      <c r="J182" s="216" t="n">
        <v>47</v>
      </c>
      <c r="K182" s="216" t="n">
        <v>215</v>
      </c>
      <c r="L182" s="216" t="n">
        <v>416</v>
      </c>
      <c r="M182" s="216" t="n">
        <v>589</v>
      </c>
      <c r="N182" s="216" t="n">
        <v>752</v>
      </c>
      <c r="O182" s="216" t="n">
        <v>4984</v>
      </c>
    </row>
    <row r="183" customFormat="false" ht="14.9" hidden="true" customHeight="true" outlineLevel="0" collapsed="false">
      <c r="A183" s="4"/>
      <c r="B183" s="151" t="s">
        <v>112</v>
      </c>
      <c r="C183" s="151" t="n">
        <v>785</v>
      </c>
      <c r="D183" s="151" t="n">
        <v>721</v>
      </c>
      <c r="E183" s="151" t="n">
        <v>646</v>
      </c>
      <c r="F183" s="151" t="n">
        <v>440</v>
      </c>
      <c r="G183" s="151" t="n">
        <v>206</v>
      </c>
      <c r="H183" s="151" t="n">
        <v>40</v>
      </c>
      <c r="I183" s="228" t="n">
        <v>10</v>
      </c>
      <c r="J183" s="216" t="n">
        <v>56</v>
      </c>
      <c r="K183" s="216" t="n">
        <v>227</v>
      </c>
      <c r="L183" s="216" t="n">
        <v>414</v>
      </c>
      <c r="M183" s="216" t="n">
        <v>569</v>
      </c>
      <c r="N183" s="216" t="n">
        <v>718</v>
      </c>
      <c r="O183" s="216" t="n">
        <v>4832</v>
      </c>
    </row>
    <row r="184" customFormat="false" ht="14.9" hidden="true" customHeight="true" outlineLevel="0" collapsed="false">
      <c r="A184" s="4"/>
      <c r="B184" s="151" t="s">
        <v>119</v>
      </c>
      <c r="C184" s="151" t="n">
        <v>864</v>
      </c>
      <c r="D184" s="151" t="n">
        <v>777</v>
      </c>
      <c r="E184" s="151" t="n">
        <v>695</v>
      </c>
      <c r="F184" s="151" t="n">
        <v>479</v>
      </c>
      <c r="G184" s="151" t="n">
        <v>251</v>
      </c>
      <c r="H184" s="151" t="n">
        <v>57</v>
      </c>
      <c r="I184" s="228" t="n">
        <v>17</v>
      </c>
      <c r="J184" s="216" t="n">
        <v>75</v>
      </c>
      <c r="K184" s="216" t="n">
        <v>245</v>
      </c>
      <c r="L184" s="216" t="n">
        <v>441</v>
      </c>
      <c r="M184" s="216" t="n">
        <v>618</v>
      </c>
      <c r="N184" s="216" t="n">
        <v>785</v>
      </c>
      <c r="O184" s="216" t="n">
        <v>5304</v>
      </c>
    </row>
    <row r="185" customFormat="false" ht="13.8" hidden="true" customHeight="true" outlineLevel="0" collapsed="false">
      <c r="A185" s="4"/>
      <c r="B185" s="225" t="s">
        <v>120</v>
      </c>
      <c r="C185" s="135" t="n">
        <v>858</v>
      </c>
      <c r="D185" s="135"/>
      <c r="E185" s="135"/>
      <c r="F185" s="135"/>
      <c r="G185" s="135"/>
      <c r="H185" s="135"/>
      <c r="I185" s="6"/>
      <c r="J185" s="7"/>
      <c r="K185" s="7"/>
      <c r="L185" s="7"/>
      <c r="M185" s="7"/>
      <c r="N185" s="3"/>
      <c r="O185" s="3" t="n">
        <v>5268</v>
      </c>
    </row>
    <row r="186" customFormat="false" ht="13.8" hidden="true" customHeight="true" outlineLevel="0" collapsed="false">
      <c r="A186" s="4"/>
      <c r="B186" s="225" t="s">
        <v>121</v>
      </c>
      <c r="C186" s="135" t="n">
        <v>773</v>
      </c>
      <c r="D186" s="135"/>
      <c r="E186" s="135"/>
      <c r="F186" s="135"/>
      <c r="G186" s="135"/>
      <c r="H186" s="135"/>
      <c r="I186" s="6"/>
      <c r="J186" s="7"/>
      <c r="K186" s="7"/>
      <c r="L186" s="7"/>
      <c r="M186" s="7"/>
      <c r="N186" s="3"/>
      <c r="O186" s="3" t="n">
        <v>4805</v>
      </c>
    </row>
    <row r="187" customFormat="false" ht="13.8" hidden="true" customHeight="true" outlineLevel="0" collapsed="false">
      <c r="A187" s="4"/>
      <c r="B187" s="225" t="s">
        <v>122</v>
      </c>
      <c r="C187" s="135" t="n">
        <v>703</v>
      </c>
      <c r="D187" s="135"/>
      <c r="E187" s="135"/>
      <c r="F187" s="135"/>
      <c r="G187" s="135"/>
      <c r="H187" s="135"/>
      <c r="I187" s="6"/>
      <c r="J187" s="7"/>
      <c r="K187" s="7"/>
      <c r="L187" s="7"/>
      <c r="M187" s="7"/>
      <c r="N187" s="3"/>
      <c r="O187" s="3" t="n">
        <v>4224</v>
      </c>
    </row>
    <row r="188" customFormat="false" ht="13.8" hidden="true" customHeight="true" outlineLevel="0" collapsed="false">
      <c r="A188" s="4"/>
      <c r="B188" s="225" t="s">
        <v>123</v>
      </c>
      <c r="C188" s="135" t="n">
        <v>726</v>
      </c>
      <c r="D188" s="135"/>
      <c r="E188" s="135"/>
      <c r="F188" s="135"/>
      <c r="G188" s="135"/>
      <c r="H188" s="135"/>
      <c r="I188" s="6"/>
      <c r="J188" s="7"/>
      <c r="K188" s="7"/>
      <c r="L188" s="7"/>
      <c r="M188" s="7"/>
      <c r="N188" s="3"/>
      <c r="O188" s="3" t="n">
        <v>4392</v>
      </c>
    </row>
    <row r="189" customFormat="false" ht="13.8" hidden="true" customHeight="true" outlineLevel="0" collapsed="false">
      <c r="A189" s="4"/>
      <c r="B189" s="225" t="s">
        <v>124</v>
      </c>
      <c r="C189" s="135" t="n">
        <v>691</v>
      </c>
      <c r="D189" s="135"/>
      <c r="E189" s="135"/>
      <c r="F189" s="135"/>
      <c r="G189" s="135"/>
      <c r="H189" s="135"/>
      <c r="I189" s="6"/>
      <c r="J189" s="7"/>
      <c r="K189" s="7"/>
      <c r="L189" s="7"/>
      <c r="M189" s="7"/>
      <c r="N189" s="3"/>
      <c r="O189" s="3" t="n">
        <v>4297</v>
      </c>
    </row>
    <row r="190" customFormat="false" ht="14.9" hidden="true" customHeight="true" outlineLevel="0" collapsed="false">
      <c r="A190" s="4"/>
      <c r="B190" s="151" t="s">
        <v>125</v>
      </c>
      <c r="C190" s="151" t="n">
        <v>812</v>
      </c>
      <c r="D190" s="151" t="n">
        <v>741</v>
      </c>
      <c r="E190" s="151" t="n">
        <v>653</v>
      </c>
      <c r="F190" s="151" t="n">
        <v>445</v>
      </c>
      <c r="G190" s="151" t="n">
        <v>198</v>
      </c>
      <c r="H190" s="151" t="n">
        <v>31</v>
      </c>
      <c r="I190" s="228" t="n">
        <v>7</v>
      </c>
      <c r="J190" s="216" t="n">
        <v>38</v>
      </c>
      <c r="K190" s="216" t="n">
        <v>194</v>
      </c>
      <c r="L190" s="216" t="n">
        <v>400</v>
      </c>
      <c r="M190" s="216" t="n">
        <v>571</v>
      </c>
      <c r="N190" s="216" t="n">
        <v>735</v>
      </c>
      <c r="O190" s="216" t="n">
        <v>4825</v>
      </c>
    </row>
    <row r="191" customFormat="false" ht="13.8" hidden="true" customHeight="true" outlineLevel="0" collapsed="false">
      <c r="A191" s="4"/>
      <c r="B191" s="225" t="s">
        <v>156</v>
      </c>
      <c r="C191" s="135" t="n">
        <v>918</v>
      </c>
      <c r="D191" s="135"/>
      <c r="E191" s="135"/>
      <c r="F191" s="135"/>
      <c r="G191" s="135"/>
      <c r="H191" s="135"/>
      <c r="I191" s="6"/>
      <c r="J191" s="7"/>
      <c r="K191" s="7"/>
      <c r="L191" s="7"/>
      <c r="M191" s="7"/>
      <c r="N191" s="3"/>
      <c r="O191" s="3" t="n">
        <v>6000</v>
      </c>
    </row>
    <row r="192" customFormat="false" ht="14.9" hidden="true" customHeight="true" outlineLevel="0" collapsed="false">
      <c r="A192" s="4"/>
      <c r="B192" s="151" t="s">
        <v>126</v>
      </c>
      <c r="C192" s="151" t="n">
        <v>726</v>
      </c>
      <c r="D192" s="151" t="n">
        <v>677</v>
      </c>
      <c r="E192" s="151" t="n">
        <v>610</v>
      </c>
      <c r="F192" s="151" t="n">
        <v>395</v>
      </c>
      <c r="G192" s="151" t="n">
        <v>159</v>
      </c>
      <c r="H192" s="151" t="n">
        <v>20</v>
      </c>
      <c r="I192" s="228" t="n">
        <v>4</v>
      </c>
      <c r="J192" s="216" t="n">
        <v>31</v>
      </c>
      <c r="K192" s="216" t="n">
        <v>191</v>
      </c>
      <c r="L192" s="216" t="n">
        <v>383</v>
      </c>
      <c r="M192" s="216" t="n">
        <v>528</v>
      </c>
      <c r="N192" s="216" t="n">
        <v>668</v>
      </c>
      <c r="O192" s="216" t="n">
        <v>4392</v>
      </c>
    </row>
    <row r="193" customFormat="false" ht="14.9" hidden="true" customHeight="true" outlineLevel="0" collapsed="false">
      <c r="A193" s="4"/>
      <c r="B193" s="151" t="s">
        <v>127</v>
      </c>
      <c r="C193" s="151" t="n">
        <v>759</v>
      </c>
      <c r="D193" s="151" t="n">
        <v>699</v>
      </c>
      <c r="E193" s="151" t="n">
        <v>621</v>
      </c>
      <c r="F193" s="151" t="n">
        <v>403</v>
      </c>
      <c r="G193" s="151" t="n">
        <v>165</v>
      </c>
      <c r="H193" s="151" t="n">
        <v>22</v>
      </c>
      <c r="I193" s="228" t="n">
        <v>5</v>
      </c>
      <c r="J193" s="216" t="n">
        <v>28</v>
      </c>
      <c r="K193" s="216" t="n">
        <v>184</v>
      </c>
      <c r="L193" s="216" t="n">
        <v>386</v>
      </c>
      <c r="M193" s="216" t="n">
        <v>546</v>
      </c>
      <c r="N193" s="216" t="n">
        <v>692</v>
      </c>
      <c r="O193" s="216" t="n">
        <v>4510</v>
      </c>
    </row>
    <row r="194" customFormat="false" ht="13.8" hidden="true" customHeight="true" outlineLevel="0" collapsed="false">
      <c r="A194" s="4"/>
      <c r="B194" s="225" t="s">
        <v>157</v>
      </c>
      <c r="C194" s="135" t="n">
        <v>703</v>
      </c>
      <c r="D194" s="135"/>
      <c r="E194" s="135"/>
      <c r="F194" s="135"/>
      <c r="G194" s="135"/>
      <c r="H194" s="135"/>
      <c r="I194" s="6"/>
      <c r="J194" s="7"/>
      <c r="K194" s="7"/>
      <c r="L194" s="7"/>
      <c r="M194" s="7"/>
      <c r="N194" s="3"/>
      <c r="O194" s="3" t="n">
        <v>4224</v>
      </c>
    </row>
    <row r="195" customFormat="false" ht="14.9" hidden="true" customHeight="true" outlineLevel="0" collapsed="false">
      <c r="A195" s="4"/>
      <c r="B195" s="151" t="s">
        <v>128</v>
      </c>
      <c r="C195" s="151" t="n">
        <v>592</v>
      </c>
      <c r="D195" s="151" t="n">
        <v>567</v>
      </c>
      <c r="E195" s="151" t="n">
        <v>551</v>
      </c>
      <c r="F195" s="151" t="n">
        <v>406</v>
      </c>
      <c r="G195" s="151" t="n">
        <v>216</v>
      </c>
      <c r="H195" s="151" t="n">
        <v>34</v>
      </c>
      <c r="I195" s="228" t="n">
        <v>3</v>
      </c>
      <c r="J195" s="216" t="n">
        <v>17</v>
      </c>
      <c r="K195" s="216" t="n">
        <v>135</v>
      </c>
      <c r="L195" s="216" t="n">
        <v>308</v>
      </c>
      <c r="M195" s="216" t="n">
        <v>432</v>
      </c>
      <c r="N195" s="216" t="n">
        <v>542</v>
      </c>
      <c r="O195" s="216" t="n">
        <v>3803</v>
      </c>
    </row>
    <row r="196" customFormat="false" ht="13.8" hidden="true" customHeight="true" outlineLevel="0" collapsed="false">
      <c r="A196" s="4"/>
      <c r="B196" s="225" t="s">
        <v>158</v>
      </c>
      <c r="C196" s="135" t="n">
        <v>782</v>
      </c>
      <c r="D196" s="135"/>
      <c r="E196" s="135"/>
      <c r="F196" s="135"/>
      <c r="G196" s="135"/>
      <c r="H196" s="135"/>
      <c r="I196" s="6"/>
      <c r="J196" s="7"/>
      <c r="K196" s="7"/>
      <c r="L196" s="7"/>
      <c r="M196" s="7"/>
      <c r="N196" s="3"/>
      <c r="O196" s="3" t="n">
        <v>4649</v>
      </c>
    </row>
    <row r="197" customFormat="false" ht="13.8" hidden="true" customHeight="true" outlineLevel="0" collapsed="false">
      <c r="A197" s="4"/>
      <c r="B197" s="225" t="s">
        <v>159</v>
      </c>
      <c r="C197" s="135" t="n">
        <v>855</v>
      </c>
      <c r="D197" s="135"/>
      <c r="E197" s="135"/>
      <c r="F197" s="135"/>
      <c r="G197" s="135"/>
      <c r="H197" s="135"/>
      <c r="I197" s="6"/>
      <c r="J197" s="7"/>
      <c r="K197" s="7"/>
      <c r="L197" s="7"/>
      <c r="M197" s="7"/>
      <c r="N197" s="3"/>
      <c r="O197" s="3" t="n">
        <v>5251</v>
      </c>
    </row>
    <row r="198" customFormat="false" ht="14.9" hidden="true" customHeight="true" outlineLevel="0" collapsed="false">
      <c r="A198" s="4"/>
      <c r="B198" s="151" t="s">
        <v>129</v>
      </c>
      <c r="C198" s="151" t="n">
        <v>824</v>
      </c>
      <c r="D198" s="151" t="n">
        <v>742</v>
      </c>
      <c r="E198" s="151" t="n">
        <v>677</v>
      </c>
      <c r="F198" s="151" t="n">
        <v>465</v>
      </c>
      <c r="G198" s="151" t="n">
        <v>249</v>
      </c>
      <c r="H198" s="151" t="n">
        <v>47</v>
      </c>
      <c r="I198" s="228" t="n">
        <v>9</v>
      </c>
      <c r="J198" s="216" t="n">
        <v>55</v>
      </c>
      <c r="K198" s="216" t="n">
        <v>224</v>
      </c>
      <c r="L198" s="216" t="n">
        <v>423</v>
      </c>
      <c r="M198" s="216" t="n">
        <v>593</v>
      </c>
      <c r="N198" s="216" t="n">
        <v>749</v>
      </c>
      <c r="O198" s="216" t="n">
        <v>5057</v>
      </c>
    </row>
    <row r="199" customFormat="false" ht="13.8" hidden="true" customHeight="true" outlineLevel="0" collapsed="false">
      <c r="A199" s="4"/>
      <c r="B199" s="225" t="s">
        <v>160</v>
      </c>
      <c r="C199" s="135" t="n">
        <v>901</v>
      </c>
      <c r="D199" s="135"/>
      <c r="E199" s="135"/>
      <c r="F199" s="135"/>
      <c r="G199" s="135"/>
      <c r="H199" s="135"/>
      <c r="I199" s="6"/>
      <c r="J199" s="7"/>
      <c r="K199" s="7"/>
      <c r="L199" s="7"/>
      <c r="M199" s="7"/>
      <c r="N199" s="3"/>
      <c r="O199" s="3" t="n">
        <v>5886</v>
      </c>
    </row>
    <row r="200" customFormat="false" ht="13.8" hidden="true" customHeight="true" outlineLevel="0" collapsed="false">
      <c r="A200" s="4"/>
      <c r="B200" s="225" t="s">
        <v>161</v>
      </c>
      <c r="C200" s="135" t="n">
        <v>812</v>
      </c>
      <c r="D200" s="135"/>
      <c r="E200" s="135"/>
      <c r="F200" s="135"/>
      <c r="G200" s="135"/>
      <c r="H200" s="135"/>
      <c r="I200" s="6"/>
      <c r="J200" s="7"/>
      <c r="K200" s="7"/>
      <c r="L200" s="7"/>
      <c r="M200" s="7"/>
      <c r="N200" s="3"/>
      <c r="O200" s="3" t="n">
        <v>4825</v>
      </c>
    </row>
    <row r="201" customFormat="false" ht="14.9" hidden="true" customHeight="true" outlineLevel="0" collapsed="false">
      <c r="A201" s="4"/>
      <c r="B201" s="151" t="s">
        <v>130</v>
      </c>
      <c r="C201" s="151" t="n">
        <v>677</v>
      </c>
      <c r="D201" s="151" t="n">
        <v>633</v>
      </c>
      <c r="E201" s="151" t="n">
        <v>585</v>
      </c>
      <c r="F201" s="151" t="n">
        <v>389</v>
      </c>
      <c r="G201" s="151" t="n">
        <v>181</v>
      </c>
      <c r="H201" s="151" t="n">
        <v>26</v>
      </c>
      <c r="I201" s="228" t="n">
        <v>3</v>
      </c>
      <c r="J201" s="216" t="n">
        <v>25</v>
      </c>
      <c r="K201" s="216" t="n">
        <v>171</v>
      </c>
      <c r="L201" s="216" t="n">
        <v>352</v>
      </c>
      <c r="M201" s="216" t="n">
        <v>497</v>
      </c>
      <c r="N201" s="216" t="n">
        <v>622</v>
      </c>
      <c r="O201" s="216" t="n">
        <v>4161</v>
      </c>
    </row>
    <row r="202" customFormat="false" ht="13.8" hidden="true" customHeight="true" outlineLevel="0" collapsed="false">
      <c r="A202" s="4"/>
      <c r="B202" s="225" t="s">
        <v>162</v>
      </c>
      <c r="C202" s="135" t="n">
        <v>900</v>
      </c>
      <c r="D202" s="135"/>
      <c r="E202" s="135"/>
      <c r="F202" s="135"/>
      <c r="G202" s="135"/>
      <c r="H202" s="135"/>
      <c r="I202" s="6"/>
      <c r="J202" s="7"/>
      <c r="K202" s="7"/>
      <c r="L202" s="7"/>
      <c r="M202" s="7"/>
      <c r="N202" s="3"/>
      <c r="O202" s="3" t="n">
        <v>5525</v>
      </c>
    </row>
    <row r="203" customFormat="false" ht="13.8" hidden="true" customHeight="true" outlineLevel="0" collapsed="false">
      <c r="A203" s="4"/>
      <c r="B203" s="225" t="s">
        <v>163</v>
      </c>
      <c r="C203" s="135" t="n">
        <v>816</v>
      </c>
      <c r="D203" s="135"/>
      <c r="E203" s="135"/>
      <c r="F203" s="135"/>
      <c r="G203" s="135"/>
      <c r="H203" s="135"/>
      <c r="I203" s="6"/>
      <c r="J203" s="7"/>
      <c r="K203" s="7"/>
      <c r="L203" s="7"/>
      <c r="M203" s="7"/>
      <c r="N203" s="3"/>
      <c r="O203" s="3" t="n">
        <v>5007</v>
      </c>
    </row>
    <row r="204" customFormat="false" ht="13.8" hidden="true" customHeight="true" outlineLevel="0" collapsed="false">
      <c r="A204" s="4"/>
      <c r="B204" s="225" t="s">
        <v>164</v>
      </c>
      <c r="C204" s="135" t="n">
        <v>660</v>
      </c>
      <c r="D204" s="135"/>
      <c r="E204" s="135"/>
      <c r="F204" s="135"/>
      <c r="G204" s="135"/>
      <c r="H204" s="135"/>
      <c r="I204" s="6"/>
      <c r="J204" s="7"/>
      <c r="K204" s="7"/>
      <c r="L204" s="7"/>
      <c r="M204" s="7"/>
      <c r="N204" s="3"/>
      <c r="O204" s="3" t="n">
        <v>3957</v>
      </c>
    </row>
    <row r="205" customFormat="false" ht="13.8" hidden="true" customHeight="true" outlineLevel="0" collapsed="false">
      <c r="A205" s="4"/>
      <c r="B205" s="225" t="s">
        <v>131</v>
      </c>
      <c r="C205" s="135" t="n">
        <v>892</v>
      </c>
      <c r="D205" s="135"/>
      <c r="E205" s="135"/>
      <c r="F205" s="135"/>
      <c r="G205" s="135"/>
      <c r="H205" s="135"/>
      <c r="I205" s="6"/>
      <c r="J205" s="7"/>
      <c r="K205" s="7"/>
      <c r="L205" s="7"/>
      <c r="M205" s="7"/>
      <c r="N205" s="3"/>
      <c r="O205" s="3" t="n">
        <v>5830</v>
      </c>
    </row>
    <row r="206" customFormat="false" ht="13.8" hidden="true" customHeight="true" outlineLevel="0" collapsed="false">
      <c r="A206" s="4"/>
      <c r="B206" s="225" t="s">
        <v>165</v>
      </c>
      <c r="C206" s="135" t="n">
        <v>762</v>
      </c>
      <c r="D206" s="135"/>
      <c r="E206" s="135"/>
      <c r="F206" s="135"/>
      <c r="G206" s="135"/>
      <c r="H206" s="135"/>
      <c r="I206" s="6"/>
      <c r="J206" s="7"/>
      <c r="K206" s="7"/>
      <c r="L206" s="7"/>
      <c r="M206" s="7"/>
      <c r="N206" s="3"/>
      <c r="O206" s="3" t="n">
        <v>4657</v>
      </c>
    </row>
    <row r="207" customFormat="false" ht="13.8" hidden="true" customHeight="true" outlineLevel="0" collapsed="false">
      <c r="A207" s="4"/>
      <c r="B207" s="225" t="s">
        <v>166</v>
      </c>
      <c r="C207" s="135" t="n">
        <v>779</v>
      </c>
      <c r="D207" s="135"/>
      <c r="E207" s="135"/>
      <c r="F207" s="135"/>
      <c r="G207" s="135"/>
      <c r="H207" s="135"/>
      <c r="I207" s="6"/>
      <c r="J207" s="7"/>
      <c r="K207" s="7"/>
      <c r="L207" s="7"/>
      <c r="M207" s="7"/>
      <c r="N207" s="3"/>
      <c r="O207" s="3" t="n">
        <v>4702</v>
      </c>
    </row>
    <row r="208" customFormat="false" ht="13.8" hidden="true" customHeight="true" outlineLevel="0" collapsed="false">
      <c r="A208" s="4"/>
      <c r="B208" s="225" t="s">
        <v>132</v>
      </c>
      <c r="C208" s="135" t="n">
        <v>762</v>
      </c>
      <c r="D208" s="135"/>
      <c r="E208" s="135"/>
      <c r="F208" s="135"/>
      <c r="G208" s="135"/>
      <c r="H208" s="135"/>
      <c r="I208" s="6"/>
      <c r="J208" s="7"/>
      <c r="K208" s="7"/>
      <c r="L208" s="7"/>
      <c r="M208" s="7"/>
      <c r="N208" s="3"/>
      <c r="O208" s="3" t="n">
        <v>4657</v>
      </c>
    </row>
    <row r="209" customFormat="false" ht="14.9" hidden="true" customHeight="true" outlineLevel="0" collapsed="false">
      <c r="A209" s="4"/>
      <c r="B209" s="151" t="s">
        <v>133</v>
      </c>
      <c r="C209" s="151" t="n">
        <v>946</v>
      </c>
      <c r="D209" s="151" t="n">
        <v>838</v>
      </c>
      <c r="E209" s="151" t="n">
        <v>760</v>
      </c>
      <c r="F209" s="151" t="n">
        <v>548</v>
      </c>
      <c r="G209" s="151" t="n">
        <v>345</v>
      </c>
      <c r="H209" s="151" t="n">
        <v>106</v>
      </c>
      <c r="I209" s="228" t="n">
        <v>49</v>
      </c>
      <c r="J209" s="216" t="n">
        <v>136</v>
      </c>
      <c r="K209" s="216" t="n">
        <v>316</v>
      </c>
      <c r="L209" s="216" t="n">
        <v>523</v>
      </c>
      <c r="M209" s="216" t="n">
        <v>722</v>
      </c>
      <c r="N209" s="216" t="n">
        <v>891</v>
      </c>
      <c r="O209" s="216" t="n">
        <v>6180</v>
      </c>
    </row>
    <row r="210" customFormat="false" ht="14.9" hidden="true" customHeight="true" outlineLevel="0" collapsed="false">
      <c r="A210" s="4"/>
      <c r="B210" s="151" t="s">
        <v>134</v>
      </c>
      <c r="C210" s="151" t="n">
        <v>724</v>
      </c>
      <c r="D210" s="151" t="n">
        <v>675</v>
      </c>
      <c r="E210" s="151" t="n">
        <v>612</v>
      </c>
      <c r="F210" s="151" t="n">
        <v>400</v>
      </c>
      <c r="G210" s="151" t="n">
        <v>176</v>
      </c>
      <c r="H210" s="151" t="n">
        <v>28</v>
      </c>
      <c r="I210" s="228" t="n">
        <v>5</v>
      </c>
      <c r="J210" s="216" t="n">
        <v>34</v>
      </c>
      <c r="K210" s="216" t="n">
        <v>192</v>
      </c>
      <c r="L210" s="216" t="n">
        <v>382</v>
      </c>
      <c r="M210" s="216" t="n">
        <v>529</v>
      </c>
      <c r="N210" s="216" t="n">
        <v>667</v>
      </c>
      <c r="O210" s="216" t="n">
        <v>4424</v>
      </c>
    </row>
    <row r="211" customFormat="false" ht="13.8" hidden="true" customHeight="true" outlineLevel="0" collapsed="false">
      <c r="A211" s="4"/>
      <c r="B211" s="225" t="s">
        <v>167</v>
      </c>
      <c r="C211" s="135" t="n">
        <v>905</v>
      </c>
      <c r="D211" s="135"/>
      <c r="E211" s="135"/>
      <c r="F211" s="135"/>
      <c r="G211" s="135"/>
      <c r="H211" s="135"/>
      <c r="I211" s="6"/>
      <c r="J211" s="7"/>
      <c r="K211" s="7"/>
      <c r="L211" s="7"/>
      <c r="M211" s="7"/>
      <c r="N211" s="3"/>
      <c r="O211" s="3" t="n">
        <v>5557</v>
      </c>
    </row>
    <row r="212" customFormat="false" ht="14.9" hidden="true" customHeight="true" outlineLevel="0" collapsed="false">
      <c r="A212" s="4"/>
      <c r="B212" s="151" t="s">
        <v>135</v>
      </c>
      <c r="C212" s="151" t="n">
        <v>663</v>
      </c>
      <c r="D212" s="151" t="n">
        <v>625</v>
      </c>
      <c r="E212" s="151" t="n">
        <v>575</v>
      </c>
      <c r="F212" s="151" t="n">
        <v>377</v>
      </c>
      <c r="G212" s="151" t="n">
        <v>161</v>
      </c>
      <c r="H212" s="151" t="n">
        <v>19</v>
      </c>
      <c r="I212" s="228" t="n">
        <v>2</v>
      </c>
      <c r="J212" s="216" t="n">
        <v>18</v>
      </c>
      <c r="K212" s="216" t="n">
        <v>149</v>
      </c>
      <c r="L212" s="216" t="n">
        <v>338</v>
      </c>
      <c r="M212" s="216" t="n">
        <v>486</v>
      </c>
      <c r="N212" s="216" t="n">
        <v>608</v>
      </c>
      <c r="O212" s="216" t="n">
        <v>4021</v>
      </c>
    </row>
    <row r="213" customFormat="false" ht="14.9" hidden="true" customHeight="true" outlineLevel="0" collapsed="false">
      <c r="A213" s="4"/>
      <c r="B213" s="151" t="s">
        <v>136</v>
      </c>
      <c r="C213" s="151" t="n">
        <v>719</v>
      </c>
      <c r="D213" s="151" t="n">
        <v>666</v>
      </c>
      <c r="E213" s="151" t="n">
        <v>619</v>
      </c>
      <c r="F213" s="151" t="n">
        <v>424</v>
      </c>
      <c r="G213" s="151" t="n">
        <v>214</v>
      </c>
      <c r="H213" s="151" t="n">
        <v>29</v>
      </c>
      <c r="I213" s="228" t="n">
        <v>5</v>
      </c>
      <c r="J213" s="216" t="n">
        <v>35</v>
      </c>
      <c r="K213" s="216" t="n">
        <v>192</v>
      </c>
      <c r="L213" s="216" t="n">
        <v>377</v>
      </c>
      <c r="M213" s="216" t="n">
        <v>526</v>
      </c>
      <c r="N213" s="216" t="n">
        <v>663</v>
      </c>
      <c r="O213" s="216" t="n">
        <v>4469</v>
      </c>
    </row>
    <row r="214" customFormat="false" ht="14.9" hidden="true" customHeight="true" outlineLevel="0" collapsed="false">
      <c r="A214" s="4"/>
      <c r="B214" s="151" t="s">
        <v>137</v>
      </c>
      <c r="C214" s="151" t="n">
        <v>682</v>
      </c>
      <c r="D214" s="151" t="n">
        <v>640</v>
      </c>
      <c r="E214" s="151" t="n">
        <v>586</v>
      </c>
      <c r="F214" s="151" t="n">
        <v>376</v>
      </c>
      <c r="G214" s="151" t="n">
        <v>146</v>
      </c>
      <c r="H214" s="151" t="n">
        <v>16</v>
      </c>
      <c r="I214" s="228" t="n">
        <v>2</v>
      </c>
      <c r="J214" s="216" t="n">
        <v>21</v>
      </c>
      <c r="K214" s="216" t="n">
        <v>158</v>
      </c>
      <c r="L214" s="216" t="n">
        <v>348</v>
      </c>
      <c r="M214" s="216" t="n">
        <v>497</v>
      </c>
      <c r="N214" s="216" t="n">
        <v>625</v>
      </c>
      <c r="O214" s="216" t="n">
        <v>4097</v>
      </c>
    </row>
    <row r="215" customFormat="false" ht="13.8" hidden="true" customHeight="true" outlineLevel="0" collapsed="false">
      <c r="A215" s="4"/>
      <c r="B215" s="225" t="s">
        <v>168</v>
      </c>
      <c r="C215" s="135" t="n">
        <v>796</v>
      </c>
      <c r="D215" s="135"/>
      <c r="E215" s="135"/>
      <c r="F215" s="135"/>
      <c r="G215" s="135"/>
      <c r="H215" s="135"/>
      <c r="I215" s="6"/>
      <c r="N215" s="3"/>
      <c r="O215" s="3" t="n">
        <v>4730</v>
      </c>
    </row>
    <row r="216" customFormat="false" ht="13.8" hidden="true" customHeight="true" outlineLevel="0" collapsed="false">
      <c r="A216" s="4"/>
      <c r="B216" s="225" t="s">
        <v>169</v>
      </c>
      <c r="C216" s="135" t="n">
        <v>785</v>
      </c>
      <c r="D216" s="135"/>
      <c r="E216" s="135"/>
      <c r="F216" s="135"/>
      <c r="G216" s="135"/>
      <c r="H216" s="135"/>
      <c r="I216" s="6"/>
      <c r="N216" s="3"/>
      <c r="O216" s="3" t="n">
        <v>4832</v>
      </c>
    </row>
    <row r="217" customFormat="false" ht="13.8" hidden="true" customHeight="true" outlineLevel="0" collapsed="false">
      <c r="A217" s="4"/>
      <c r="B217" s="135" t="s">
        <v>138</v>
      </c>
      <c r="C217" s="135" t="n">
        <v>816</v>
      </c>
      <c r="D217" s="135"/>
      <c r="E217" s="135"/>
      <c r="F217" s="135"/>
      <c r="G217" s="135"/>
      <c r="H217" s="135"/>
      <c r="I217" s="6"/>
      <c r="N217" s="3"/>
      <c r="O217" s="3" t="n">
        <v>5007</v>
      </c>
    </row>
    <row r="218" customFormat="false" ht="13.8" hidden="true" customHeight="true" outlineLevel="0" collapsed="false">
      <c r="A218" s="4"/>
      <c r="I218" s="6"/>
    </row>
    <row r="219" customFormat="false" ht="13.8" hidden="false" customHeight="true" outlineLevel="0" collapsed="false">
      <c r="A219" s="4"/>
      <c r="I219" s="6"/>
    </row>
    <row r="220" customFormat="false" ht="13.8" hidden="false" customHeight="true" outlineLevel="0" collapsed="false">
      <c r="A220" s="4"/>
      <c r="I220" s="6"/>
    </row>
    <row r="221" customFormat="false" ht="13.8" hidden="false" customHeight="true" outlineLevel="0" collapsed="false">
      <c r="A221" s="4"/>
      <c r="I221" s="6"/>
    </row>
    <row r="222" customFormat="false" ht="13.8" hidden="false" customHeight="true" outlineLevel="0" collapsed="false">
      <c r="A222" s="4"/>
      <c r="I222" s="6"/>
    </row>
    <row r="223" customFormat="false" ht="13.8" hidden="false" customHeight="true" outlineLevel="0" collapsed="false">
      <c r="A223" s="4"/>
      <c r="I223" s="6"/>
    </row>
    <row r="224" customFormat="false" ht="13.8" hidden="false" customHeight="true" outlineLevel="0" collapsed="false">
      <c r="A224" s="4"/>
      <c r="I224" s="6"/>
    </row>
    <row r="225" customFormat="false" ht="22.7" hidden="false" customHeight="true" outlineLevel="0" collapsed="false">
      <c r="A225" s="4"/>
      <c r="B225" s="229" t="s">
        <v>170</v>
      </c>
      <c r="C225" s="229"/>
      <c r="D225" s="229"/>
      <c r="E225" s="229"/>
      <c r="F225" s="229"/>
      <c r="G225" s="229"/>
      <c r="H225" s="229"/>
      <c r="I225" s="6"/>
    </row>
    <row r="226" customFormat="false" ht="13.8" hidden="false" customHeight="true" outlineLevel="0" collapsed="false">
      <c r="A226" s="4"/>
      <c r="B226" s="229"/>
      <c r="C226" s="229"/>
      <c r="D226" s="229"/>
      <c r="E226" s="229"/>
      <c r="F226" s="229"/>
      <c r="G226" s="229"/>
      <c r="H226" s="229"/>
      <c r="I226" s="6"/>
    </row>
    <row r="227" customFormat="false" ht="13.8" hidden="false" customHeight="true" outlineLevel="0" collapsed="false">
      <c r="A227" s="4"/>
      <c r="B227" s="4"/>
      <c r="C227" s="4"/>
      <c r="D227" s="4"/>
      <c r="E227" s="4"/>
      <c r="F227" s="4"/>
      <c r="G227" s="4"/>
      <c r="H227" s="4"/>
      <c r="I227" s="6"/>
    </row>
    <row r="228" customFormat="false" ht="13.8" hidden="false" customHeight="true" outlineLevel="0" collapsed="false">
      <c r="A228" s="4"/>
      <c r="B228" s="230" t="s">
        <v>171</v>
      </c>
      <c r="C228" s="230"/>
      <c r="D228" s="230"/>
      <c r="E228" s="230"/>
      <c r="F228" s="230"/>
      <c r="G228" s="230"/>
      <c r="H228" s="230"/>
      <c r="I228" s="6"/>
    </row>
    <row r="229" customFormat="false" ht="13.8" hidden="false" customHeight="true" outlineLevel="0" collapsed="false">
      <c r="A229" s="4"/>
      <c r="B229" s="230"/>
      <c r="C229" s="230"/>
      <c r="D229" s="230"/>
      <c r="E229" s="230"/>
      <c r="F229" s="230"/>
      <c r="G229" s="230"/>
      <c r="H229" s="230"/>
      <c r="I229" s="6"/>
    </row>
    <row r="230" customFormat="false" ht="13.8" hidden="false" customHeight="true" outlineLevel="0" collapsed="false">
      <c r="A230" s="4"/>
      <c r="B230" s="230"/>
      <c r="C230" s="230"/>
      <c r="D230" s="230"/>
      <c r="E230" s="230"/>
      <c r="F230" s="230"/>
      <c r="G230" s="230"/>
      <c r="H230" s="230"/>
      <c r="I230" s="6"/>
    </row>
    <row r="231" customFormat="false" ht="13.8" hidden="false" customHeight="true" outlineLevel="0" collapsed="false">
      <c r="A231" s="4"/>
      <c r="B231" s="230"/>
      <c r="C231" s="230"/>
      <c r="D231" s="230"/>
      <c r="E231" s="230"/>
      <c r="F231" s="230"/>
      <c r="G231" s="230"/>
      <c r="H231" s="230"/>
      <c r="I231" s="6"/>
    </row>
    <row r="232" customFormat="false" ht="13.8" hidden="false" customHeight="true" outlineLevel="0" collapsed="false">
      <c r="A232" s="4"/>
      <c r="B232" s="230"/>
      <c r="C232" s="230"/>
      <c r="D232" s="230"/>
      <c r="E232" s="230"/>
      <c r="F232" s="230"/>
      <c r="G232" s="230"/>
      <c r="H232" s="230"/>
      <c r="I232" s="6"/>
    </row>
    <row r="233" customFormat="false" ht="13.8" hidden="false" customHeight="true" outlineLevel="0" collapsed="false">
      <c r="A233" s="4"/>
      <c r="B233" s="230"/>
      <c r="C233" s="230"/>
      <c r="D233" s="230"/>
      <c r="E233" s="230"/>
      <c r="F233" s="230"/>
      <c r="G233" s="230"/>
      <c r="H233" s="230"/>
      <c r="I233" s="6"/>
    </row>
    <row r="234" customFormat="false" ht="13.8" hidden="false" customHeight="true" outlineLevel="0" collapsed="false">
      <c r="A234" s="4"/>
      <c r="B234" s="230"/>
      <c r="C234" s="230"/>
      <c r="D234" s="230"/>
      <c r="E234" s="230"/>
      <c r="F234" s="230"/>
      <c r="G234" s="230"/>
      <c r="H234" s="230"/>
      <c r="I234" s="6"/>
    </row>
    <row r="235" customFormat="false" ht="13.8" hidden="false" customHeight="true" outlineLevel="0" collapsed="false">
      <c r="A235" s="4"/>
      <c r="B235" s="230"/>
      <c r="C235" s="230"/>
      <c r="D235" s="230"/>
      <c r="E235" s="230"/>
      <c r="F235" s="230"/>
      <c r="G235" s="230"/>
      <c r="H235" s="230"/>
      <c r="I235" s="6"/>
    </row>
    <row r="236" customFormat="false" ht="13.8" hidden="false" customHeight="true" outlineLevel="0" collapsed="false">
      <c r="A236" s="4"/>
      <c r="B236" s="230"/>
      <c r="C236" s="230"/>
      <c r="D236" s="230"/>
      <c r="E236" s="230"/>
      <c r="F236" s="230"/>
      <c r="G236" s="230"/>
      <c r="H236" s="230"/>
      <c r="I236" s="6"/>
    </row>
    <row r="237" customFormat="false" ht="13.8" hidden="false" customHeight="true" outlineLevel="0" collapsed="false">
      <c r="A237" s="4"/>
      <c r="B237" s="4"/>
      <c r="C237" s="4"/>
      <c r="D237" s="4"/>
      <c r="E237" s="4"/>
      <c r="F237" s="4"/>
      <c r="G237" s="4"/>
      <c r="H237" s="4"/>
      <c r="I237" s="6"/>
    </row>
    <row r="238" customFormat="false" ht="13.8" hidden="false" customHeight="true" outlineLevel="0" collapsed="false">
      <c r="A238" s="4"/>
      <c r="B238" s="4"/>
      <c r="C238" s="4"/>
      <c r="D238" s="4"/>
      <c r="E238" s="4"/>
      <c r="F238" s="4"/>
      <c r="G238" s="4"/>
      <c r="H238" s="4"/>
      <c r="I238" s="6"/>
    </row>
    <row r="239" customFormat="false" ht="13.8" hidden="false" customHeight="true" outlineLevel="0" collapsed="false">
      <c r="I239" s="231"/>
    </row>
  </sheetData>
  <sheetProtection sheet="true" password="b51c" objects="true" scenarios="true" selectLockedCells="true"/>
  <mergeCells count="126">
    <mergeCell ref="B2:H2"/>
    <mergeCell ref="B3:F3"/>
    <mergeCell ref="B4:F4"/>
    <mergeCell ref="B5:F5"/>
    <mergeCell ref="B6:F6"/>
    <mergeCell ref="B7:G7"/>
    <mergeCell ref="B8:C8"/>
    <mergeCell ref="D8:E8"/>
    <mergeCell ref="B10:G10"/>
    <mergeCell ref="B11:G11"/>
    <mergeCell ref="B12:G12"/>
    <mergeCell ref="B13:F13"/>
    <mergeCell ref="B14:G14"/>
    <mergeCell ref="B15:G15"/>
    <mergeCell ref="B16:F16"/>
    <mergeCell ref="B17:H17"/>
    <mergeCell ref="B18:H18"/>
    <mergeCell ref="B19:F19"/>
    <mergeCell ref="B20:F20"/>
    <mergeCell ref="B21:G21"/>
    <mergeCell ref="B22:F22"/>
    <mergeCell ref="B23:G23"/>
    <mergeCell ref="B24:G24"/>
    <mergeCell ref="B25:G25"/>
    <mergeCell ref="B27:F27"/>
    <mergeCell ref="B28:F28"/>
    <mergeCell ref="B29:F29"/>
    <mergeCell ref="B30:D30"/>
    <mergeCell ref="B31:D31"/>
    <mergeCell ref="E31:F31"/>
    <mergeCell ref="B32:F32"/>
    <mergeCell ref="B33:F33"/>
    <mergeCell ref="B34:G34"/>
    <mergeCell ref="B35:G35"/>
    <mergeCell ref="B37:H37"/>
    <mergeCell ref="B38:F38"/>
    <mergeCell ref="B39:F39"/>
    <mergeCell ref="B40:G40"/>
    <mergeCell ref="B41:F41"/>
    <mergeCell ref="B42:F42"/>
    <mergeCell ref="B43:G43"/>
    <mergeCell ref="B44:G44"/>
    <mergeCell ref="B45:G45"/>
    <mergeCell ref="B46:F46"/>
    <mergeCell ref="B47:G47"/>
    <mergeCell ref="B48:F48"/>
    <mergeCell ref="B49:G49"/>
    <mergeCell ref="B51:F51"/>
    <mergeCell ref="B52:F52"/>
    <mergeCell ref="B53:F53"/>
    <mergeCell ref="B54:G54"/>
    <mergeCell ref="B55:F55"/>
    <mergeCell ref="B56:G56"/>
    <mergeCell ref="B57:G57"/>
    <mergeCell ref="B58:G58"/>
    <mergeCell ref="B59:F59"/>
    <mergeCell ref="B61:H61"/>
    <mergeCell ref="B62:F62"/>
    <mergeCell ref="B63:F63"/>
    <mergeCell ref="B64:F64"/>
    <mergeCell ref="B65:F65"/>
    <mergeCell ref="B66:F66"/>
    <mergeCell ref="B67:F67"/>
    <mergeCell ref="B68:C68"/>
    <mergeCell ref="B70:H70"/>
    <mergeCell ref="B71:F71"/>
    <mergeCell ref="B72:F72"/>
    <mergeCell ref="B73:F73"/>
    <mergeCell ref="B74:F74"/>
    <mergeCell ref="B75:E75"/>
    <mergeCell ref="B76:F76"/>
    <mergeCell ref="B77:F77"/>
    <mergeCell ref="B78:F78"/>
    <mergeCell ref="B79:F79"/>
    <mergeCell ref="G79:H79"/>
    <mergeCell ref="B81:H81"/>
    <mergeCell ref="B83:F83"/>
    <mergeCell ref="B84:F84"/>
    <mergeCell ref="B85:G85"/>
    <mergeCell ref="B86:F86"/>
    <mergeCell ref="B87:F87"/>
    <mergeCell ref="D88:F88"/>
    <mergeCell ref="B89:F89"/>
    <mergeCell ref="B90:G90"/>
    <mergeCell ref="B91:G91"/>
    <mergeCell ref="B92:G92"/>
    <mergeCell ref="B93:G93"/>
    <mergeCell ref="B94:F94"/>
    <mergeCell ref="B95:G95"/>
    <mergeCell ref="B96:F96"/>
    <mergeCell ref="B97:G97"/>
    <mergeCell ref="B99:H99"/>
    <mergeCell ref="B100:F100"/>
    <mergeCell ref="B101:F101"/>
    <mergeCell ref="B102:G102"/>
    <mergeCell ref="B103:G103"/>
    <mergeCell ref="B104:G104"/>
    <mergeCell ref="B105:G105"/>
    <mergeCell ref="B106:G106"/>
    <mergeCell ref="B108:G108"/>
    <mergeCell ref="B109:E109"/>
    <mergeCell ref="B110:E110"/>
    <mergeCell ref="B111:E111"/>
    <mergeCell ref="B112:E112"/>
    <mergeCell ref="B113:E113"/>
    <mergeCell ref="B114:E114"/>
    <mergeCell ref="B115:E115"/>
    <mergeCell ref="B117:G117"/>
    <mergeCell ref="B118:F118"/>
    <mergeCell ref="B119:F119"/>
    <mergeCell ref="B120:D120"/>
    <mergeCell ref="B121:C121"/>
    <mergeCell ref="B122:F122"/>
    <mergeCell ref="B123:F123"/>
    <mergeCell ref="B131:G131"/>
    <mergeCell ref="B132:G132"/>
    <mergeCell ref="B133:D133"/>
    <mergeCell ref="B134:D134"/>
    <mergeCell ref="B135:D135"/>
    <mergeCell ref="C136:D136"/>
    <mergeCell ref="B137:B138"/>
    <mergeCell ref="C137:C138"/>
    <mergeCell ref="D137:D138"/>
    <mergeCell ref="B141:E141"/>
    <mergeCell ref="B225:H226"/>
    <mergeCell ref="B228:H236"/>
  </mergeCells>
  <dataValidations count="7">
    <dataValidation allowBlank="false" errorStyle="stop" operator="equal" promptTitle="Valitse mittayksikkö" showDropDown="false" showErrorMessage="true" showInputMessage="true" sqref="F8" type="list">
      <formula1>"l/h,l/min,l/s,m3/h"</formula1>
      <formula2>0</formula2>
    </dataValidation>
    <dataValidation allowBlank="true" errorStyle="stop" operator="equal" promptTitle="Valitse mittayksikkö" showDropDown="false" showErrorMessage="true" showInputMessage="false" sqref="F9" type="none">
      <formula1>0</formula1>
      <formula2>0</formula2>
    </dataValidation>
    <dataValidation allowBlank="false" errorStyle="stop" operator="equal" prompt="Voit tehdä tässä laskelman   &#10;ILMALLE tai &#10;VEDELLE" promptTitle="VALITSE" showDropDown="false" showErrorMessage="true" showInputMessage="true" sqref="H27" type="list">
      <formula1>"ILMALLE,VEDELLE"</formula1>
      <formula2>0</formula2>
    </dataValidation>
    <dataValidation allowBlank="false" errorStyle="stop" operator="equal" prompt="Valitse tässä mittayksikkö seuraavista.:&#10;&#10;- Litraa / sekunti&#10;- Litraa / minuutti&#10;- Litraa / tunti" promptTitle="Valitse yksikkö" showDropDown="false" showErrorMessage="true" showInputMessage="true" sqref="H31" type="list">
      <formula1>"Litraa / sekunti,Litraa / minuutti,Litraa / tunti"</formula1>
      <formula2>0</formula2>
    </dataValidation>
    <dataValidation allowBlank="true" errorStyle="stop" operator="equal" prompt="Hiekka&#10;Vesi&#10;jne.." promptTitle="Valitse materiaali" showDropDown="false" showErrorMessage="true" showInputMessage="true" sqref="G51" type="list">
      <mc:AlternateContent xmlns:x12ac="http://schemas.microsoft.com/office/spreadsheetml/2011/1/ac" xmlns:mc="http://schemas.openxmlformats.org/markup-compatibility/2006">
        <mc:Choice Requires="x12ac">
          <x12ac:list>Basaltti,Betoni,Graniitti,"Hiekka, kuiva",Ilma,Jää,Kvartsi,Maaviina 28%,"Sora, kuiva",Vesi</x12ac:list>
        </mc:Choice>
        <mc:Fallback>
          <formula1>"Basaltti,Betoni,Graniitti,Hiekka, kuiva,Ilma,Jää,Kvartsi,Maaviina 28%,Sora, kuiva,Vesi"</formula1>
        </mc:Fallback>
      </mc:AlternateContent>
      <formula2>0</formula2>
    </dataValidation>
    <dataValidation allowBlank="true" errorStyle="stop" operator="equal" prompt="Valitse kiertonesteen laatu:&#10;- Naturet 17&#10;- Vesi" promptTitle="VALITSE kiertoneste..." showDropDown="false" showErrorMessage="true" showInputMessage="true" sqref="D68" type="list">
      <formula1>"Naturet 17,Vesi"</formula1>
      <formula2>0</formula2>
    </dataValidation>
    <dataValidation allowBlank="false" errorStyle="stop" operator="equal" prompt="Valitse tästä listasta&#10;lähin ja ilmastollisesti &#10;sopivin paikkakunta!" promptTitle="Valitse " showDropDown="false" showErrorMessage="true" showInputMessage="true" sqref="B140" type="list">
      <formula1>"Helsinki,Hämeenlinna,Iisalmi,Ilomantsi,Ivalo,Joensuu,Jyväskylä,Kajaani,Kemi,Kokkola,Kotka,Kouvola,Kristiinankaupunki,Kuopio,Lahti,Lappeenranta,Maarianhamina,Oulu,Pori,Rovaniemi,Seinäjoki,Sodankylä,Tampere,Turku,Vaasa,Vantaa,Ylivieska"</formula1>
      <formula2>0</formula2>
    </dataValidation>
  </dataValidations>
  <printOptions headings="false" gridLines="false" gridLinesSet="true" horizontalCentered="false" verticalCentered="false"/>
  <pageMargins left="0.40625" right="0.370833333333333" top="0.491666666666667" bottom="0.434027777777778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7" activeCellId="0" sqref="B7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8.81"/>
    <col collapsed="false" customWidth="true" hidden="false" outlineLevel="0" max="2" min="2" style="0" width="15.24"/>
    <col collapsed="false" customWidth="true" hidden="false" outlineLevel="0" max="8" min="3" style="0" width="9.91"/>
    <col collapsed="false" customWidth="true" hidden="false" outlineLevel="0" max="11" min="9" style="0" width="8.81"/>
    <col collapsed="false" customWidth="true" hidden="false" outlineLevel="0" max="12" min="12" style="0" width="14.07"/>
    <col collapsed="false" customWidth="true" hidden="false" outlineLevel="0" max="13" min="13" style="0" width="12.61"/>
    <col collapsed="false" customWidth="true" hidden="false" outlineLevel="0" max="14" min="14" style="0" width="11.63"/>
    <col collapsed="false" customWidth="true" hidden="false" outlineLevel="0" max="15" min="15" style="0" width="8.81"/>
    <col collapsed="false" customWidth="true" hidden="false" outlineLevel="0" max="16" min="16" style="0" width="14.44"/>
    <col collapsed="false" customWidth="true" hidden="false" outlineLevel="0" max="64" min="17" style="0" width="8.81"/>
  </cols>
  <sheetData>
    <row r="1" customFormat="false" ht="15.3" hidden="false" customHeight="true" outlineLevel="0" collapsed="false">
      <c r="A1" s="232"/>
      <c r="B1" s="232"/>
      <c r="C1" s="232"/>
      <c r="D1" s="232"/>
      <c r="E1" s="232"/>
      <c r="F1" s="232"/>
      <c r="G1" s="232"/>
      <c r="H1" s="232"/>
    </row>
    <row r="2" customFormat="false" ht="15.3" hidden="false" customHeight="true" outlineLevel="0" collapsed="false">
      <c r="A2" s="232"/>
      <c r="B2" s="232"/>
      <c r="C2" s="232"/>
      <c r="D2" s="232"/>
      <c r="E2" s="232"/>
      <c r="F2" s="232"/>
      <c r="G2" s="232"/>
      <c r="H2" s="232"/>
    </row>
    <row r="3" customFormat="false" ht="15.3" hidden="false" customHeight="true" outlineLevel="0" collapsed="false">
      <c r="A3" s="232"/>
      <c r="B3" s="233" t="s">
        <v>172</v>
      </c>
      <c r="C3" s="233"/>
      <c r="D3" s="233"/>
      <c r="E3" s="233"/>
      <c r="F3" s="233"/>
      <c r="G3" s="233"/>
      <c r="H3" s="233"/>
      <c r="J3" s="234"/>
      <c r="K3" s="235"/>
      <c r="L3" s="234"/>
    </row>
    <row r="4" customFormat="false" ht="15.3" hidden="false" customHeight="true" outlineLevel="0" collapsed="false">
      <c r="A4" s="232"/>
      <c r="B4" s="236" t="n">
        <v>4.21</v>
      </c>
      <c r="C4" s="237" t="s">
        <v>173</v>
      </c>
      <c r="D4" s="237"/>
      <c r="E4" s="237"/>
      <c r="F4" s="237"/>
      <c r="G4" s="237"/>
      <c r="H4" s="237"/>
      <c r="J4" s="238"/>
      <c r="K4" s="238"/>
      <c r="L4" s="239"/>
      <c r="M4" s="240"/>
      <c r="N4" s="241"/>
      <c r="O4" s="242"/>
      <c r="P4" s="243"/>
    </row>
    <row r="5" customFormat="false" ht="15.3" hidden="false" customHeight="true" outlineLevel="0" collapsed="false">
      <c r="A5" s="232"/>
      <c r="B5" s="244" t="n">
        <v>0.973</v>
      </c>
      <c r="C5" s="237" t="s">
        <v>174</v>
      </c>
      <c r="D5" s="237"/>
      <c r="E5" s="237"/>
      <c r="F5" s="237"/>
      <c r="G5" s="237"/>
      <c r="H5" s="237"/>
    </row>
    <row r="6" customFormat="false" ht="15.3" hidden="false" customHeight="true" outlineLevel="0" collapsed="false">
      <c r="A6" s="232"/>
      <c r="B6" s="245" t="n">
        <f aca="false">B5*B4</f>
        <v>4.09633</v>
      </c>
      <c r="C6" s="237" t="s">
        <v>175</v>
      </c>
      <c r="D6" s="237"/>
      <c r="E6" s="237"/>
      <c r="F6" s="237"/>
      <c r="G6" s="237"/>
      <c r="H6" s="237"/>
    </row>
    <row r="7" customFormat="false" ht="15.3" hidden="false" customHeight="true" outlineLevel="0" collapsed="false">
      <c r="A7" s="232"/>
      <c r="B7" s="246" t="n">
        <v>3</v>
      </c>
      <c r="C7" s="237" t="s">
        <v>176</v>
      </c>
      <c r="D7" s="237"/>
      <c r="E7" s="237"/>
      <c r="F7" s="237"/>
      <c r="G7" s="237"/>
      <c r="H7" s="237"/>
      <c r="P7" s="247"/>
    </row>
    <row r="8" customFormat="false" ht="15.3" hidden="false" customHeight="true" outlineLevel="0" collapsed="false">
      <c r="A8" s="232"/>
      <c r="B8" s="248" t="str">
        <f aca="false">"Naturett -17 seos,  tarvittava  virtausnopeus,  kun Δt = "&amp;B7&amp;" K"</f>
        <v>Naturett -17 seos,  tarvittava  virtausnopeus,  kun Δt = 3 K</v>
      </c>
      <c r="C8" s="248"/>
      <c r="D8" s="248"/>
      <c r="E8" s="248"/>
      <c r="F8" s="248"/>
      <c r="G8" s="248"/>
      <c r="H8" s="248"/>
    </row>
    <row r="9" customFormat="false" ht="15.3" hidden="false" customHeight="true" outlineLevel="0" collapsed="false">
      <c r="A9" s="232"/>
      <c r="B9" s="249" t="s">
        <v>177</v>
      </c>
      <c r="C9" s="250" t="n">
        <v>2.5</v>
      </c>
      <c r="D9" s="250" t="n">
        <v>3</v>
      </c>
      <c r="E9" s="250" t="n">
        <v>3.5</v>
      </c>
      <c r="F9" s="250" t="n">
        <v>4</v>
      </c>
      <c r="G9" s="250" t="n">
        <v>4.5</v>
      </c>
      <c r="H9" s="251" t="n">
        <v>5</v>
      </c>
    </row>
    <row r="10" customFormat="false" ht="15.3" hidden="false" customHeight="true" outlineLevel="0" collapsed="false">
      <c r="A10" s="232"/>
      <c r="B10" s="252" t="n">
        <f aca="false">Taulukot!B11+10</f>
        <v>240</v>
      </c>
      <c r="C10" s="253" t="n">
        <f aca="false">($B10-($B10/C$9))/$B$6/$B$7</f>
        <v>11.7178059384864</v>
      </c>
      <c r="D10" s="253" t="n">
        <f aca="false">($B10-($B10/D$9))/$B$6/$B$7</f>
        <v>13.019784376096</v>
      </c>
      <c r="E10" s="253" t="n">
        <f aca="false">($B10-($B10/E$9))/$B$6/$B$7</f>
        <v>13.9497689743886</v>
      </c>
      <c r="F10" s="253" t="n">
        <f aca="false">($B10-($B10/F$9))/$B$6/$B$7</f>
        <v>14.647257423108</v>
      </c>
      <c r="G10" s="253" t="n">
        <f aca="false">($B10-($B10/G$9))/$B$6/$B$7</f>
        <v>15.1897484387787</v>
      </c>
      <c r="H10" s="254" t="n">
        <f aca="false">($B10-($B10/H$9))/$B$6/$B$7</f>
        <v>15.6237412513152</v>
      </c>
      <c r="J10" s="255"/>
    </row>
    <row r="11" customFormat="false" ht="15.3" hidden="false" customHeight="true" outlineLevel="0" collapsed="false">
      <c r="A11" s="232"/>
      <c r="B11" s="256" t="n">
        <f aca="false">Taulukot!B12+10</f>
        <v>230</v>
      </c>
      <c r="C11" s="257" t="n">
        <f aca="false">($B11-($B11/C$9))/$B$6/$B$7</f>
        <v>11.2295640243828</v>
      </c>
      <c r="D11" s="257" t="n">
        <f aca="false">($B11-($B11/D$9))/$B$6/$B$7</f>
        <v>12.4772933604253</v>
      </c>
      <c r="E11" s="257" t="n">
        <f aca="false">($B11-($B11/E$9))/$B$6/$B$7</f>
        <v>13.3685286004557</v>
      </c>
      <c r="F11" s="257" t="n">
        <f aca="false">($B11-($B11/F$9))/$B$6/$B$7</f>
        <v>14.0369550304785</v>
      </c>
      <c r="G11" s="257" t="n">
        <f aca="false">($B11-($B11/G$9))/$B$6/$B$7</f>
        <v>14.5568422538296</v>
      </c>
      <c r="H11" s="258" t="n">
        <f aca="false">($B11-($B11/H$9))/$B$6/$B$7</f>
        <v>14.9727520325104</v>
      </c>
    </row>
    <row r="12" customFormat="false" ht="15.3" hidden="false" customHeight="true" outlineLevel="0" collapsed="false">
      <c r="A12" s="232"/>
      <c r="B12" s="256" t="n">
        <f aca="false">Taulukot!B13+10</f>
        <v>220</v>
      </c>
      <c r="C12" s="257" t="n">
        <f aca="false">($B12-($B12/C$9))/$B$6/$B$7</f>
        <v>10.7413221102792</v>
      </c>
      <c r="D12" s="257" t="n">
        <f aca="false">($B12-($B12/D$9))/$B$6/$B$7</f>
        <v>11.9348023447547</v>
      </c>
      <c r="E12" s="257" t="n">
        <f aca="false">($B12-($B12/E$9))/$B$6/$B$7</f>
        <v>12.7872882265229</v>
      </c>
      <c r="F12" s="257" t="n">
        <f aca="false">($B12-($B12/F$9))/$B$6/$B$7</f>
        <v>13.426652637849</v>
      </c>
      <c r="G12" s="257" t="n">
        <f aca="false">($B12-($B12/G$9))/$B$6/$B$7</f>
        <v>13.9239360688804</v>
      </c>
      <c r="H12" s="258" t="n">
        <f aca="false">($B12-($B12/H$9))/$B$6/$B$7</f>
        <v>14.3217628137056</v>
      </c>
    </row>
    <row r="13" customFormat="false" ht="15.3" hidden="false" customHeight="true" outlineLevel="0" collapsed="false">
      <c r="A13" s="232"/>
      <c r="B13" s="256" t="n">
        <f aca="false">Taulukot!B14+10</f>
        <v>210</v>
      </c>
      <c r="C13" s="257" t="n">
        <f aca="false">($B13-($B13/C$9))/$B$6/$B$7</f>
        <v>10.2530801961756</v>
      </c>
      <c r="D13" s="257" t="n">
        <f aca="false">($B13-($B13/D$9))/$B$6/$B$7</f>
        <v>11.392311329084</v>
      </c>
      <c r="E13" s="257" t="n">
        <f aca="false">($B13-($B13/E$9))/$B$6/$B$7</f>
        <v>12.20604785259</v>
      </c>
      <c r="F13" s="257" t="n">
        <f aca="false">($B13-($B13/F$9))/$B$6/$B$7</f>
        <v>12.8163502452195</v>
      </c>
      <c r="G13" s="257" t="n">
        <f aca="false">($B13-($B13/G$9))/$B$6/$B$7</f>
        <v>13.2910298839313</v>
      </c>
      <c r="H13" s="258" t="n">
        <f aca="false">($B13-($B13/H$9))/$B$6/$B$7</f>
        <v>13.6707735949008</v>
      </c>
    </row>
    <row r="14" customFormat="false" ht="15.3" hidden="false" customHeight="true" outlineLevel="0" collapsed="false">
      <c r="A14" s="232"/>
      <c r="B14" s="259" t="n">
        <f aca="false">Taulukot!B15+10</f>
        <v>200</v>
      </c>
      <c r="C14" s="260" t="n">
        <f aca="false">($B14-($B14/C$9))/$B$6/$B$7</f>
        <v>9.764838282072</v>
      </c>
      <c r="D14" s="260" t="n">
        <f aca="false">($B14-($B14/D$9))/$B$6/$B$7</f>
        <v>10.8498203134133</v>
      </c>
      <c r="E14" s="260" t="n">
        <f aca="false">($B14-($B14/E$9))/$B$6/$B$7</f>
        <v>11.6248074786571</v>
      </c>
      <c r="F14" s="260" t="n">
        <f aca="false">($B14-($B14/F$9))/$B$6/$B$7</f>
        <v>12.20604785259</v>
      </c>
      <c r="G14" s="260" t="n">
        <f aca="false">($B14-($B14/G$9))/$B$6/$B$7</f>
        <v>12.6581236989822</v>
      </c>
      <c r="H14" s="261" t="n">
        <f aca="false">($B14-($B14/H$9))/$B$6/$B$7</f>
        <v>13.019784376096</v>
      </c>
    </row>
    <row r="15" customFormat="false" ht="15.3" hidden="false" customHeight="true" outlineLevel="0" collapsed="false">
      <c r="A15" s="232"/>
      <c r="B15" s="256" t="n">
        <f aca="false">Taulukot!B16+10</f>
        <v>190</v>
      </c>
      <c r="C15" s="257" t="n">
        <f aca="false">($B15-($B15/C$9))/$B$6/$B$7</f>
        <v>9.2765963679684</v>
      </c>
      <c r="D15" s="257" t="n">
        <f aca="false">($B15-($B15/D$9))/$B$6/$B$7</f>
        <v>10.3073292977427</v>
      </c>
      <c r="E15" s="257" t="n">
        <f aca="false">($B15-($B15/E$9))/$B$6/$B$7</f>
        <v>11.0435671047243</v>
      </c>
      <c r="F15" s="257" t="n">
        <f aca="false">($B15-($B15/F$9))/$B$6/$B$7</f>
        <v>11.5957454599605</v>
      </c>
      <c r="G15" s="257" t="n">
        <f aca="false">($B15-($B15/G$9))/$B$6/$B$7</f>
        <v>12.0252175140331</v>
      </c>
      <c r="H15" s="258" t="n">
        <f aca="false">($B15-($B15/H$9))/$B$6/$B$7</f>
        <v>12.3687951572912</v>
      </c>
    </row>
    <row r="16" customFormat="false" ht="15.3" hidden="false" customHeight="true" outlineLevel="0" collapsed="false">
      <c r="A16" s="232"/>
      <c r="B16" s="256" t="n">
        <f aca="false">Taulukot!B17+10</f>
        <v>180</v>
      </c>
      <c r="C16" s="257" t="n">
        <f aca="false">($B16-($B16/C$9))/$B$6/$B$7</f>
        <v>8.7883544538648</v>
      </c>
      <c r="D16" s="257" t="n">
        <f aca="false">($B16-($B16/D$9))/$B$6/$B$7</f>
        <v>9.764838282072</v>
      </c>
      <c r="E16" s="257" t="n">
        <f aca="false">($B16-($B16/E$9))/$B$6/$B$7</f>
        <v>10.4623267307914</v>
      </c>
      <c r="F16" s="257" t="n">
        <f aca="false">($B16-($B16/F$9))/$B$6/$B$7</f>
        <v>10.985443067331</v>
      </c>
      <c r="G16" s="257" t="n">
        <f aca="false">($B16-($B16/G$9))/$B$6/$B$7</f>
        <v>11.392311329084</v>
      </c>
      <c r="H16" s="258" t="n">
        <f aca="false">($B16-($B16/H$9))/$B$6/$B$7</f>
        <v>11.7178059384864</v>
      </c>
    </row>
    <row r="17" customFormat="false" ht="15.3" hidden="false" customHeight="true" outlineLevel="0" collapsed="false">
      <c r="A17" s="232"/>
      <c r="B17" s="256" t="n">
        <f aca="false">Taulukot!B18+10</f>
        <v>170</v>
      </c>
      <c r="C17" s="257" t="n">
        <f aca="false">($B17-($B17/C$9))/$B$6/$B$7</f>
        <v>8.3001125397612</v>
      </c>
      <c r="D17" s="257" t="n">
        <f aca="false">($B17-($B17/D$9))/$B$6/$B$7</f>
        <v>9.22234726640133</v>
      </c>
      <c r="E17" s="257" t="n">
        <f aca="false">($B17-($B17/E$9))/$B$6/$B$7</f>
        <v>9.88108635685857</v>
      </c>
      <c r="F17" s="257" t="n">
        <f aca="false">($B17-($B17/F$9))/$B$6/$B$7</f>
        <v>10.3751406747015</v>
      </c>
      <c r="G17" s="257" t="n">
        <f aca="false">($B17-($B17/G$9))/$B$6/$B$7</f>
        <v>10.7594051441349</v>
      </c>
      <c r="H17" s="258" t="n">
        <f aca="false">($B17-($B17/H$9))/$B$6/$B$7</f>
        <v>11.0668167196816</v>
      </c>
    </row>
    <row r="18" customFormat="false" ht="15.3" hidden="false" customHeight="true" outlineLevel="0" collapsed="false">
      <c r="A18" s="232"/>
      <c r="B18" s="256" t="n">
        <f aca="false">Taulukot!B19+10</f>
        <v>160</v>
      </c>
      <c r="C18" s="257" t="n">
        <f aca="false">($B18-($B18/C$9))/$B$6/$B$7</f>
        <v>7.8118706256576</v>
      </c>
      <c r="D18" s="257" t="n">
        <f aca="false">($B18-($B18/D$9))/$B$6/$B$7</f>
        <v>8.67985625073067</v>
      </c>
      <c r="E18" s="257" t="n">
        <f aca="false">($B18-($B18/E$9))/$B$6/$B$7</f>
        <v>9.29984598292572</v>
      </c>
      <c r="F18" s="257" t="n">
        <f aca="false">($B18-($B18/F$9))/$B$6/$B$7</f>
        <v>9.764838282072</v>
      </c>
      <c r="G18" s="257" t="n">
        <f aca="false">($B18-($B18/G$9))/$B$6/$B$7</f>
        <v>10.1264989591858</v>
      </c>
      <c r="H18" s="258" t="n">
        <f aca="false">($B18-($B18/H$9))/$B$6/$B$7</f>
        <v>10.4158275008768</v>
      </c>
    </row>
    <row r="19" customFormat="false" ht="15.3" hidden="false" customHeight="true" outlineLevel="0" collapsed="false">
      <c r="A19" s="232"/>
      <c r="B19" s="259" t="n">
        <f aca="false">Taulukot!B20+10</f>
        <v>150</v>
      </c>
      <c r="C19" s="260" t="n">
        <f aca="false">($B19-($B19/C$9))/$B$6/$B$7</f>
        <v>7.323628711554</v>
      </c>
      <c r="D19" s="260" t="n">
        <f aca="false">($B19-($B19/D$9))/$B$6/$B$7</f>
        <v>8.13736523506</v>
      </c>
      <c r="E19" s="260" t="n">
        <f aca="false">($B19-($B19/E$9))/$B$6/$B$7</f>
        <v>8.71860560899286</v>
      </c>
      <c r="F19" s="260" t="n">
        <f aca="false">($B19-($B19/F$9))/$B$6/$B$7</f>
        <v>9.1545358894425</v>
      </c>
      <c r="G19" s="260" t="n">
        <f aca="false">($B19-($B19/G$9))/$B$6/$B$7</f>
        <v>9.49359277423667</v>
      </c>
      <c r="H19" s="261" t="n">
        <f aca="false">($B19-($B19/H$9))/$B$6/$B$7</f>
        <v>9.764838282072</v>
      </c>
    </row>
    <row r="20" customFormat="false" ht="15.3" hidden="false" customHeight="true" outlineLevel="0" collapsed="false">
      <c r="A20" s="232"/>
      <c r="B20" s="256" t="n">
        <f aca="false">Taulukot!B21+10</f>
        <v>140</v>
      </c>
      <c r="C20" s="257" t="n">
        <f aca="false">($B20-($B20/C$9))/$B$6/$B$7</f>
        <v>6.8353867974504</v>
      </c>
      <c r="D20" s="257" t="n">
        <f aca="false">($B20-($B20/D$9))/$B$6/$B$7</f>
        <v>7.59487421938934</v>
      </c>
      <c r="E20" s="257" t="n">
        <f aca="false">($B20-($B20/E$9))/$B$6/$B$7</f>
        <v>8.13736523506</v>
      </c>
      <c r="F20" s="257" t="n">
        <f aca="false">($B20-($B20/F$9))/$B$6/$B$7</f>
        <v>8.544233496813</v>
      </c>
      <c r="G20" s="257" t="n">
        <f aca="false">($B20-($B20/G$9))/$B$6/$B$7</f>
        <v>8.86068658928756</v>
      </c>
      <c r="H20" s="258" t="n">
        <f aca="false">($B20-($B20/H$9))/$B$6/$B$7</f>
        <v>9.1138490632672</v>
      </c>
    </row>
    <row r="21" customFormat="false" ht="15.3" hidden="false" customHeight="true" outlineLevel="0" collapsed="false">
      <c r="A21" s="232"/>
      <c r="B21" s="256" t="n">
        <f aca="false">Taulukot!B22+10</f>
        <v>130</v>
      </c>
      <c r="C21" s="257" t="n">
        <f aca="false">($B21-($B21/C$9))/$B$6/$B$7</f>
        <v>6.3471448833468</v>
      </c>
      <c r="D21" s="257" t="n">
        <f aca="false">($B21-($B21/D$9))/$B$6/$B$7</f>
        <v>7.05238320371867</v>
      </c>
      <c r="E21" s="257" t="n">
        <f aca="false">($B21-($B21/E$9))/$B$6/$B$7</f>
        <v>7.55612486112714</v>
      </c>
      <c r="F21" s="257" t="n">
        <f aca="false">($B21-($B21/F$9))/$B$6/$B$7</f>
        <v>7.9339311041835</v>
      </c>
      <c r="G21" s="257" t="n">
        <f aca="false">($B21-($B21/G$9))/$B$6/$B$7</f>
        <v>8.22778040433844</v>
      </c>
      <c r="H21" s="258" t="n">
        <f aca="false">($B21-($B21/H$9))/$B$6/$B$7</f>
        <v>8.4628598444624</v>
      </c>
    </row>
    <row r="22" customFormat="false" ht="15.3" hidden="false" customHeight="true" outlineLevel="0" collapsed="false">
      <c r="A22" s="232"/>
      <c r="B22" s="256" t="n">
        <f aca="false">Taulukot!B23+10</f>
        <v>120</v>
      </c>
      <c r="C22" s="257" t="n">
        <f aca="false">($B22-($B22/C$9))/$B$6/$B$7</f>
        <v>5.8589029692432</v>
      </c>
      <c r="D22" s="257" t="n">
        <f aca="false">($B22-($B22/D$9))/$B$6/$B$7</f>
        <v>6.509892188048</v>
      </c>
      <c r="E22" s="257" t="n">
        <f aca="false">($B22-($B22/E$9))/$B$6/$B$7</f>
        <v>6.97488448719429</v>
      </c>
      <c r="F22" s="257" t="n">
        <f aca="false">($B22-($B22/F$9))/$B$6/$B$7</f>
        <v>7.323628711554</v>
      </c>
      <c r="G22" s="257" t="n">
        <f aca="false">($B22-($B22/G$9))/$B$6/$B$7</f>
        <v>7.59487421938933</v>
      </c>
      <c r="H22" s="258" t="n">
        <f aca="false">($B22-($B22/H$9))/$B$6/$B$7</f>
        <v>7.8118706256576</v>
      </c>
    </row>
    <row r="23" customFormat="false" ht="15.3" hidden="false" customHeight="true" outlineLevel="0" collapsed="false">
      <c r="A23" s="232"/>
      <c r="B23" s="256" t="n">
        <f aca="false">Taulukot!B24+10</f>
        <v>110</v>
      </c>
      <c r="C23" s="257" t="n">
        <f aca="false">($B23-($B23/C$9))/$B$6/$B$7</f>
        <v>5.3706610551396</v>
      </c>
      <c r="D23" s="257" t="n">
        <f aca="false">($B23-($B23/D$9))/$B$6/$B$7</f>
        <v>5.96740117237734</v>
      </c>
      <c r="E23" s="257" t="n">
        <f aca="false">($B23-($B23/E$9))/$B$6/$B$7</f>
        <v>6.39364411326143</v>
      </c>
      <c r="F23" s="257" t="n">
        <f aca="false">($B23-($B23/F$9))/$B$6/$B$7</f>
        <v>6.7133263189245</v>
      </c>
      <c r="G23" s="257" t="n">
        <f aca="false">($B23-($B23/G$9))/$B$6/$B$7</f>
        <v>6.96196803444022</v>
      </c>
      <c r="H23" s="258" t="n">
        <f aca="false">($B23-($B23/H$9))/$B$6/$B$7</f>
        <v>7.1608814068528</v>
      </c>
    </row>
    <row r="24" customFormat="false" ht="15.3" hidden="false" customHeight="true" outlineLevel="0" collapsed="false">
      <c r="A24" s="232"/>
      <c r="B24" s="259" t="n">
        <f aca="false">Taulukot!B25+10</f>
        <v>100</v>
      </c>
      <c r="C24" s="260" t="n">
        <f aca="false">($B24-($B24/C$9))/$B$6/$B$7</f>
        <v>4.882419141036</v>
      </c>
      <c r="D24" s="260" t="n">
        <f aca="false">($B24-($B24/D$9))/$B$6/$B$7</f>
        <v>5.42491015670667</v>
      </c>
      <c r="E24" s="260" t="n">
        <f aca="false">($B24-($B24/E$9))/$B$6/$B$7</f>
        <v>5.81240373932857</v>
      </c>
      <c r="F24" s="260" t="n">
        <f aca="false">($B24-($B24/F$9))/$B$6/$B$7</f>
        <v>6.103023926295</v>
      </c>
      <c r="G24" s="260" t="n">
        <f aca="false">($B24-($B24/G$9))/$B$6/$B$7</f>
        <v>6.32906184949111</v>
      </c>
      <c r="H24" s="261" t="n">
        <f aca="false">($B24-($B24/H$9))/$B$6/$B$7</f>
        <v>6.509892188048</v>
      </c>
    </row>
    <row r="25" customFormat="false" ht="15.3" hidden="false" customHeight="true" outlineLevel="0" collapsed="false">
      <c r="A25" s="232"/>
      <c r="B25" s="256" t="n">
        <f aca="false">Taulukot!B26+10</f>
        <v>90</v>
      </c>
      <c r="C25" s="257" t="n">
        <f aca="false">($B25-($B25/C$9))/$B$6/$B$7</f>
        <v>4.3941772269324</v>
      </c>
      <c r="D25" s="257" t="n">
        <f aca="false">($B25-($B25/D$9))/$B$6/$B$7</f>
        <v>4.882419141036</v>
      </c>
      <c r="E25" s="257" t="n">
        <f aca="false">($B25-($B25/E$9))/$B$6/$B$7</f>
        <v>5.23116336539571</v>
      </c>
      <c r="F25" s="257" t="n">
        <f aca="false">($B25-($B25/F$9))/$B$6/$B$7</f>
        <v>5.4927215336655</v>
      </c>
      <c r="G25" s="257" t="n">
        <f aca="false">($B25-($B25/G$9))/$B$6/$B$7</f>
        <v>5.696155664542</v>
      </c>
      <c r="H25" s="258" t="n">
        <f aca="false">($B25-($B25/H$9))/$B$6/$B$7</f>
        <v>5.8589029692432</v>
      </c>
    </row>
    <row r="26" customFormat="false" ht="15.3" hidden="false" customHeight="true" outlineLevel="0" collapsed="false">
      <c r="A26" s="232"/>
      <c r="B26" s="256" t="n">
        <f aca="false">Taulukot!B27+10</f>
        <v>80</v>
      </c>
      <c r="C26" s="257" t="n">
        <f aca="false">($B26-($B26/C$9))/$B$6/$B$7</f>
        <v>3.9059353128288</v>
      </c>
      <c r="D26" s="257" t="n">
        <f aca="false">($B26-($B26/D$9))/$B$6/$B$7</f>
        <v>4.33992812536533</v>
      </c>
      <c r="E26" s="257" t="n">
        <f aca="false">($B26-($B26/E$9))/$B$6/$B$7</f>
        <v>4.64992299146286</v>
      </c>
      <c r="F26" s="257" t="n">
        <f aca="false">($B26-($B26/F$9))/$B$6/$B$7</f>
        <v>4.882419141036</v>
      </c>
      <c r="G26" s="257" t="n">
        <f aca="false">($B26-($B26/G$9))/$B$6/$B$7</f>
        <v>5.06324947959289</v>
      </c>
      <c r="H26" s="258" t="n">
        <f aca="false">($B26-($B26/H$9))/$B$6/$B$7</f>
        <v>5.2079137504384</v>
      </c>
    </row>
    <row r="27" customFormat="false" ht="15.3" hidden="false" customHeight="true" outlineLevel="0" collapsed="false">
      <c r="A27" s="232"/>
      <c r="B27" s="256" t="n">
        <f aca="false">Taulukot!B28+10</f>
        <v>70</v>
      </c>
      <c r="C27" s="257" t="n">
        <f aca="false">($B27-($B27/C$9))/$B$6/$B$7</f>
        <v>3.4176933987252</v>
      </c>
      <c r="D27" s="257" t="n">
        <f aca="false">($B27-($B27/D$9))/$B$6/$B$7</f>
        <v>3.79743710969467</v>
      </c>
      <c r="E27" s="257" t="n">
        <f aca="false">($B27-($B27/E$9))/$B$6/$B$7</f>
        <v>4.06868261753</v>
      </c>
      <c r="F27" s="257" t="n">
        <f aca="false">($B27-($B27/F$9))/$B$6/$B$7</f>
        <v>4.2721167484065</v>
      </c>
      <c r="G27" s="257" t="n">
        <f aca="false">($B27-($B27/G$9))/$B$6/$B$7</f>
        <v>4.43034329464378</v>
      </c>
      <c r="H27" s="258" t="n">
        <f aca="false">($B27-($B27/H$9))/$B$6/$B$7</f>
        <v>4.5569245316336</v>
      </c>
    </row>
    <row r="28" customFormat="false" ht="15.3" hidden="false" customHeight="true" outlineLevel="0" collapsed="false">
      <c r="A28" s="232"/>
      <c r="B28" s="256" t="n">
        <f aca="false">Taulukot!B29+10</f>
        <v>60</v>
      </c>
      <c r="C28" s="257" t="n">
        <f aca="false">($B28-($B28/C$9))/$B$6/$B$7</f>
        <v>2.9294514846216</v>
      </c>
      <c r="D28" s="257" t="n">
        <f aca="false">($B28-($B28/D$9))/$B$6/$B$7</f>
        <v>3.254946094024</v>
      </c>
      <c r="E28" s="257" t="n">
        <f aca="false">($B28-($B28/E$9))/$B$6/$B$7</f>
        <v>3.48744224359714</v>
      </c>
      <c r="F28" s="257" t="n">
        <f aca="false">($B28-($B28/F$9))/$B$6/$B$7</f>
        <v>3.661814355777</v>
      </c>
      <c r="G28" s="257" t="n">
        <f aca="false">($B28-($B28/G$9))/$B$6/$B$7</f>
        <v>3.79743710969467</v>
      </c>
      <c r="H28" s="258" t="n">
        <f aca="false">($B28-($B28/H$9))/$B$6/$B$7</f>
        <v>3.9059353128288</v>
      </c>
    </row>
    <row r="29" customFormat="false" ht="15.3" hidden="false" customHeight="true" outlineLevel="0" collapsed="false">
      <c r="A29" s="232"/>
      <c r="B29" s="259" t="n">
        <f aca="false">Taulukot!B30+10</f>
        <v>50</v>
      </c>
      <c r="C29" s="260" t="n">
        <f aca="false">($B29-($B29/C$9))/$B$6/$B$7</f>
        <v>2.441209570518</v>
      </c>
      <c r="D29" s="260" t="n">
        <f aca="false">($B29-($B29/D$9))/$B$6/$B$7</f>
        <v>2.71245507835333</v>
      </c>
      <c r="E29" s="260" t="n">
        <f aca="false">($B29-($B29/E$9))/$B$6/$B$7</f>
        <v>2.90620186966429</v>
      </c>
      <c r="F29" s="260" t="n">
        <f aca="false">($B29-($B29/F$9))/$B$6/$B$7</f>
        <v>3.0515119631475</v>
      </c>
      <c r="G29" s="260" t="n">
        <f aca="false">($B29-($B29/G$9))/$B$6/$B$7</f>
        <v>3.16453092474556</v>
      </c>
      <c r="H29" s="261" t="n">
        <f aca="false">($B29-($B29/H$9))/$B$6/$B$7</f>
        <v>3.254946094024</v>
      </c>
    </row>
    <row r="30" customFormat="false" ht="15.3" hidden="false" customHeight="true" outlineLevel="0" collapsed="false">
      <c r="A30" s="232"/>
      <c r="B30" s="256" t="n">
        <f aca="false">Taulukot!B31+10</f>
        <v>40</v>
      </c>
      <c r="C30" s="257" t="n">
        <f aca="false">($B30-($B30/C$9))/$B$6/$B$7</f>
        <v>1.9529676564144</v>
      </c>
      <c r="D30" s="257" t="n">
        <f aca="false">($B30-($B30/D$9))/$B$6/$B$7</f>
        <v>2.16996406268267</v>
      </c>
      <c r="E30" s="257" t="n">
        <f aca="false">($B30-($B30/E$9))/$B$6/$B$7</f>
        <v>2.32496149573143</v>
      </c>
      <c r="F30" s="257" t="n">
        <f aca="false">($B30-($B30/F$9))/$B$6/$B$7</f>
        <v>2.441209570518</v>
      </c>
      <c r="G30" s="257" t="n">
        <f aca="false">($B30-($B30/G$9))/$B$6/$B$7</f>
        <v>2.53162473979644</v>
      </c>
      <c r="H30" s="258" t="n">
        <f aca="false">($B30-($B30/H$9))/$B$6/$B$7</f>
        <v>2.6039568752192</v>
      </c>
    </row>
    <row r="31" customFormat="false" ht="15.3" hidden="false" customHeight="true" outlineLevel="0" collapsed="false">
      <c r="A31" s="232"/>
      <c r="B31" s="256" t="n">
        <f aca="false">Taulukot!B33+10</f>
        <v>30</v>
      </c>
      <c r="C31" s="257" t="n">
        <f aca="false">($B31-($B31/C$9))/$B$6/$B$7</f>
        <v>1.4647257423108</v>
      </c>
      <c r="D31" s="257" t="n">
        <f aca="false">($B31-($B31/D$9))/$B$6/$B$7</f>
        <v>1.627473047012</v>
      </c>
      <c r="E31" s="257" t="n">
        <f aca="false">($B31-($B31/E$9))/$B$6/$B$7</f>
        <v>1.74372112179857</v>
      </c>
      <c r="F31" s="257" t="n">
        <f aca="false">($B31-($B31/F$9))/$B$6/$B$7</f>
        <v>1.8309071778885</v>
      </c>
      <c r="G31" s="257" t="n">
        <f aca="false">($B31-($B31/G$9))/$B$6/$B$7</f>
        <v>1.89871855484733</v>
      </c>
      <c r="H31" s="258" t="n">
        <f aca="false">($B31-($B31/H$9))/$B$6/$B$7</f>
        <v>1.9529676564144</v>
      </c>
    </row>
    <row r="32" customFormat="false" ht="15.3" hidden="false" customHeight="true" outlineLevel="0" collapsed="false">
      <c r="A32" s="232"/>
      <c r="B32" s="256" t="n">
        <v>25</v>
      </c>
      <c r="C32" s="257" t="n">
        <f aca="false">($B32-($B32/C$9))/$B$6/$B$7</f>
        <v>1.220604785259</v>
      </c>
      <c r="D32" s="257" t="n">
        <f aca="false">($B32-($B32/D$9))/$B$6/$B$7</f>
        <v>1.35622753917667</v>
      </c>
      <c r="E32" s="257" t="n">
        <f aca="false">($B32-($B32/E$9))/$B$6/$B$7</f>
        <v>1.45310093483214</v>
      </c>
      <c r="F32" s="257" t="n">
        <f aca="false">($B32-($B32/F$9))/$B$6/$B$7</f>
        <v>1.52575598157375</v>
      </c>
      <c r="G32" s="257" t="n">
        <f aca="false">($B32-($B32/G$9))/$B$6/$B$7</f>
        <v>1.58226546237278</v>
      </c>
      <c r="H32" s="258" t="n">
        <f aca="false">($B32-($B32/H$9))/$B$6/$B$7</f>
        <v>1.627473047012</v>
      </c>
    </row>
    <row r="33" customFormat="false" ht="15.3" hidden="false" customHeight="true" outlineLevel="0" collapsed="false">
      <c r="A33" s="232"/>
      <c r="B33" s="256" t="n">
        <v>20</v>
      </c>
      <c r="C33" s="257" t="n">
        <f aca="false">($B33-($B33/C$9))/$B$6/$B$7</f>
        <v>0.9764838282072</v>
      </c>
      <c r="D33" s="257" t="n">
        <f aca="false">($B33-($B33/D$9))/$B$6/$B$7</f>
        <v>1.08498203134133</v>
      </c>
      <c r="E33" s="257" t="n">
        <f aca="false">($B33-($B33/E$9))/$B$6/$B$7</f>
        <v>1.16248074786571</v>
      </c>
      <c r="F33" s="257" t="n">
        <f aca="false">($B33-($B33/F$9))/$B$6/$B$7</f>
        <v>1.220604785259</v>
      </c>
      <c r="G33" s="257" t="n">
        <f aca="false">($B33-($B33/G$9))/$B$6/$B$7</f>
        <v>1.26581236989822</v>
      </c>
      <c r="H33" s="258" t="n">
        <f aca="false">($B33-($B33/H$9))/$B$6/$B$7</f>
        <v>1.3019784376096</v>
      </c>
    </row>
    <row r="34" customFormat="false" ht="15.3" hidden="false" customHeight="true" outlineLevel="0" collapsed="false">
      <c r="A34" s="232"/>
      <c r="B34" s="259" t="n">
        <v>18</v>
      </c>
      <c r="C34" s="260" t="n">
        <f aca="false">($B34-($B34/C$9))/$B$6/$B$7</f>
        <v>0.87883544538648</v>
      </c>
      <c r="D34" s="260" t="n">
        <f aca="false">($B34-($B34/D$9))/$B$6/$B$7</f>
        <v>0.9764838282072</v>
      </c>
      <c r="E34" s="260" t="n">
        <f aca="false">($B34-($B34/E$9))/$B$6/$B$7</f>
        <v>1.04623267307914</v>
      </c>
      <c r="F34" s="260" t="n">
        <f aca="false">($B34-($B34/F$9))/$B$6/$B$7</f>
        <v>1.0985443067331</v>
      </c>
      <c r="G34" s="260" t="n">
        <f aca="false">($B34-($B34/G$9))/$B$6/$B$7</f>
        <v>1.1392311329084</v>
      </c>
      <c r="H34" s="261" t="n">
        <f aca="false">($B34-($B34/H$9))/$B$6/$B$7</f>
        <v>1.17178059384864</v>
      </c>
    </row>
    <row r="35" customFormat="false" ht="15.3" hidden="false" customHeight="true" outlineLevel="0" collapsed="false">
      <c r="A35" s="232"/>
      <c r="B35" s="256" t="n">
        <v>16</v>
      </c>
      <c r="C35" s="257" t="n">
        <f aca="false">($B35-($B35/C$9))/$B$6/$B$7</f>
        <v>0.78118706256576</v>
      </c>
      <c r="D35" s="257" t="n">
        <f aca="false">($B35-($B35/D$9))/$B$6/$B$7</f>
        <v>0.867985625073067</v>
      </c>
      <c r="E35" s="257" t="n">
        <f aca="false">($B35-($B35/E$9))/$B$6/$B$7</f>
        <v>0.929984598292572</v>
      </c>
      <c r="F35" s="257" t="n">
        <f aca="false">($B35-($B35/F$9))/$B$6/$B$7</f>
        <v>0.9764838282072</v>
      </c>
      <c r="G35" s="257" t="n">
        <f aca="false">($B35-($B35/G$9))/$B$6/$B$7</f>
        <v>1.01264989591858</v>
      </c>
      <c r="H35" s="258" t="n">
        <f aca="false">($B35-($B35/H$9))/$B$6/$B$7</f>
        <v>1.04158275008768</v>
      </c>
    </row>
    <row r="36" customFormat="false" ht="15.3" hidden="false" customHeight="true" outlineLevel="0" collapsed="false">
      <c r="A36" s="232"/>
      <c r="B36" s="256" t="n">
        <v>15</v>
      </c>
      <c r="C36" s="257" t="n">
        <f aca="false">($B36-($B36/C$9))/$B$6/$B$7</f>
        <v>0.7323628711554</v>
      </c>
      <c r="D36" s="257" t="n">
        <f aca="false">($B36-($B36/D$9))/$B$6/$B$7</f>
        <v>0.813736523506</v>
      </c>
      <c r="E36" s="257" t="n">
        <f aca="false">($B36-($B36/E$9))/$B$6/$B$7</f>
        <v>0.871860560899286</v>
      </c>
      <c r="F36" s="257" t="n">
        <f aca="false">($B36-($B36/F$9))/$B$6/$B$7</f>
        <v>0.91545358894425</v>
      </c>
      <c r="G36" s="257" t="n">
        <f aca="false">($B36-($B36/G$9))/$B$6/$B$7</f>
        <v>0.949359277423667</v>
      </c>
      <c r="H36" s="258" t="n">
        <f aca="false">($B36-($B36/H$9))/$B$6/$B$7</f>
        <v>0.9764838282072</v>
      </c>
    </row>
    <row r="37" customFormat="false" ht="15.3" hidden="false" customHeight="true" outlineLevel="0" collapsed="false">
      <c r="A37" s="232"/>
      <c r="B37" s="256" t="n">
        <v>12</v>
      </c>
      <c r="C37" s="257" t="n">
        <f aca="false">($B37-($B37/C$9))/$B$6/$B$7</f>
        <v>0.58589029692432</v>
      </c>
      <c r="D37" s="257" t="n">
        <f aca="false">($B37-($B37/D$9))/$B$6/$B$7</f>
        <v>0.6509892188048</v>
      </c>
      <c r="E37" s="257" t="n">
        <f aca="false">($B37-($B37/E$9))/$B$6/$B$7</f>
        <v>0.697488448719429</v>
      </c>
      <c r="F37" s="257" t="n">
        <f aca="false">($B37-($B37/F$9))/$B$6/$B$7</f>
        <v>0.7323628711554</v>
      </c>
      <c r="G37" s="257" t="n">
        <f aca="false">($B37-($B37/G$9))/$B$6/$B$7</f>
        <v>0.759487421938933</v>
      </c>
      <c r="H37" s="258" t="n">
        <f aca="false">($B37-($B37/H$9))/$B$6/$B$7</f>
        <v>0.78118706256576</v>
      </c>
    </row>
    <row r="38" customFormat="false" ht="15.3" hidden="false" customHeight="true" outlineLevel="0" collapsed="false">
      <c r="A38" s="232"/>
      <c r="B38" s="256" t="n">
        <v>10</v>
      </c>
      <c r="C38" s="257" t="n">
        <f aca="false">($B38-($B38/C$9))/$B$6/$B$7</f>
        <v>0.4882419141036</v>
      </c>
      <c r="D38" s="257" t="n">
        <f aca="false">($B38-($B38/D$9))/$B$6/$B$7</f>
        <v>0.542491015670667</v>
      </c>
      <c r="E38" s="257" t="n">
        <f aca="false">($B38-($B38/E$9))/$B$6/$B$7</f>
        <v>0.581240373932857</v>
      </c>
      <c r="F38" s="257" t="n">
        <f aca="false">($B38-($B38/F$9))/$B$6/$B$7</f>
        <v>0.6103023926295</v>
      </c>
      <c r="G38" s="257" t="n">
        <f aca="false">($B38-($B38/G$9))/$B$6/$B$7</f>
        <v>0.632906184949111</v>
      </c>
      <c r="H38" s="258" t="n">
        <f aca="false">($B38-($B38/H$9))/$B$6/$B$7</f>
        <v>0.6509892188048</v>
      </c>
    </row>
    <row r="39" customFormat="false" ht="15.3" hidden="false" customHeight="true" outlineLevel="0" collapsed="false">
      <c r="A39" s="232"/>
      <c r="B39" s="259" t="n">
        <v>9</v>
      </c>
      <c r="C39" s="260" t="n">
        <f aca="false">($B39-($B39/C$9))/$B$6/$B$7</f>
        <v>0.43941772269324</v>
      </c>
      <c r="D39" s="260" t="n">
        <f aca="false">($B39-($B39/D$9))/$B$6/$B$7</f>
        <v>0.4882419141036</v>
      </c>
      <c r="E39" s="260" t="n">
        <f aca="false">($B39-($B39/E$9))/$B$6/$B$7</f>
        <v>0.523116336539572</v>
      </c>
      <c r="F39" s="260" t="n">
        <f aca="false">($B39-($B39/F$9))/$B$6/$B$7</f>
        <v>0.54927215336655</v>
      </c>
      <c r="G39" s="260" t="n">
        <f aca="false">($B39-($B39/G$9))/$B$6/$B$7</f>
        <v>0.5696155664542</v>
      </c>
      <c r="H39" s="261" t="n">
        <f aca="false">($B39-($B39/H$9))/$B$6/$B$7</f>
        <v>0.58589029692432</v>
      </c>
    </row>
    <row r="40" customFormat="false" ht="15.3" hidden="false" customHeight="true" outlineLevel="0" collapsed="false">
      <c r="A40" s="232"/>
      <c r="B40" s="256" t="n">
        <v>8</v>
      </c>
      <c r="C40" s="257" t="n">
        <f aca="false">($B40-($B40/C$9))/$B$6/$B$7</f>
        <v>0.39059353128288</v>
      </c>
      <c r="D40" s="257" t="n">
        <f aca="false">($B40-($B40/D$9))/$B$6/$B$7</f>
        <v>0.433992812536533</v>
      </c>
      <c r="E40" s="257" t="n">
        <f aca="false">($B40-($B40/E$9))/$B$6/$B$7</f>
        <v>0.464992299146286</v>
      </c>
      <c r="F40" s="257" t="n">
        <f aca="false">($B40-($B40/F$9))/$B$6/$B$7</f>
        <v>0.4882419141036</v>
      </c>
      <c r="G40" s="257" t="n">
        <f aca="false">($B40-($B40/G$9))/$B$6/$B$7</f>
        <v>0.506324947959289</v>
      </c>
      <c r="H40" s="258" t="n">
        <f aca="false">($B40-($B40/H$9))/$B$6/$B$7</f>
        <v>0.52079137504384</v>
      </c>
    </row>
    <row r="41" customFormat="false" ht="15.3" hidden="false" customHeight="true" outlineLevel="0" collapsed="false">
      <c r="A41" s="232"/>
      <c r="B41" s="256" t="n">
        <v>7</v>
      </c>
      <c r="C41" s="257" t="n">
        <f aca="false">($B41-($B41/C$9))/$B$6/$B$7</f>
        <v>0.34176933987252</v>
      </c>
      <c r="D41" s="257" t="n">
        <f aca="false">($B41-($B41/D$9))/$B$6/$B$7</f>
        <v>0.379743710969467</v>
      </c>
      <c r="E41" s="257" t="n">
        <f aca="false">($B41-($B41/E$9))/$B$6/$B$7</f>
        <v>0.406868261753</v>
      </c>
      <c r="F41" s="257" t="n">
        <f aca="false">($B41-($B41/F$9))/$B$6/$B$7</f>
        <v>0.42721167484065</v>
      </c>
      <c r="G41" s="257" t="n">
        <f aca="false">($B41-($B41/G$9))/$B$6/$B$7</f>
        <v>0.443034329464378</v>
      </c>
      <c r="H41" s="258" t="n">
        <f aca="false">($B41-($B41/H$9))/$B$6/$B$7</f>
        <v>0.45569245316336</v>
      </c>
    </row>
    <row r="42" customFormat="false" ht="15.3" hidden="false" customHeight="true" outlineLevel="0" collapsed="false">
      <c r="A42" s="232"/>
      <c r="B42" s="256" t="n">
        <v>6</v>
      </c>
      <c r="C42" s="257" t="n">
        <f aca="false">($B42-($B42/C$9))/$B$6/$B$7</f>
        <v>0.29294514846216</v>
      </c>
      <c r="D42" s="257" t="n">
        <f aca="false">($B42-($B42/D$9))/$B$6/$B$7</f>
        <v>0.3254946094024</v>
      </c>
      <c r="E42" s="257" t="n">
        <f aca="false">($B42-($B42/E$9))/$B$6/$B$7</f>
        <v>0.348744224359714</v>
      </c>
      <c r="F42" s="257" t="n">
        <f aca="false">($B42-($B42/F$9))/$B$6/$B$7</f>
        <v>0.3661814355777</v>
      </c>
      <c r="G42" s="257" t="n">
        <f aca="false">($B42-($B42/G$9))/$B$6/$B$7</f>
        <v>0.379743710969467</v>
      </c>
      <c r="H42" s="258" t="n">
        <f aca="false">($B42-($B42/H$9))/$B$6/$B$7</f>
        <v>0.39059353128288</v>
      </c>
    </row>
    <row r="43" customFormat="false" ht="15.3" hidden="false" customHeight="true" outlineLevel="0" collapsed="false">
      <c r="A43" s="232"/>
      <c r="B43" s="262" t="n">
        <v>5</v>
      </c>
      <c r="C43" s="263" t="n">
        <f aca="false">($B43-($B43/C$9))/$B$6/$B$7</f>
        <v>0.2441209570518</v>
      </c>
      <c r="D43" s="263" t="n">
        <f aca="false">($B43-($B43/D$9))/$B$6/$B$7</f>
        <v>0.271245507835333</v>
      </c>
      <c r="E43" s="263" t="n">
        <f aca="false">($B43-($B43/E$9))/$B$6/$B$7</f>
        <v>0.290620186966429</v>
      </c>
      <c r="F43" s="263" t="n">
        <f aca="false">($B43-($B43/F$9))/$B$6/$B$7</f>
        <v>0.30515119631475</v>
      </c>
      <c r="G43" s="263" t="n">
        <f aca="false">($B43-($B43/G$9))/$B$6/$B$7</f>
        <v>0.316453092474556</v>
      </c>
      <c r="H43" s="264" t="n">
        <f aca="false">($B43-($B43/H$9))/$B$6/$B$7</f>
        <v>0.3254946094024</v>
      </c>
    </row>
    <row r="44" customFormat="false" ht="15.3" hidden="false" customHeight="true" outlineLevel="0" collapsed="false">
      <c r="A44" s="232"/>
      <c r="B44" s="232"/>
      <c r="C44" s="232"/>
      <c r="D44" s="232"/>
      <c r="E44" s="232"/>
      <c r="F44" s="232"/>
      <c r="G44" s="232"/>
      <c r="H44" s="232"/>
    </row>
    <row r="45" customFormat="false" ht="15.3" hidden="false" customHeight="true" outlineLevel="0" collapsed="false">
      <c r="A45" s="232"/>
      <c r="B45" s="265" t="s">
        <v>40</v>
      </c>
      <c r="C45" s="265"/>
      <c r="D45" s="265"/>
      <c r="E45" s="232"/>
      <c r="F45" s="232"/>
      <c r="G45" s="232"/>
      <c r="H45" s="232"/>
    </row>
    <row r="46" customFormat="false" ht="15.3" hidden="false" customHeight="true" outlineLevel="0" collapsed="false">
      <c r="A46" s="232"/>
      <c r="B46" s="266" t="s">
        <v>178</v>
      </c>
      <c r="C46" s="267" t="s">
        <v>179</v>
      </c>
      <c r="D46" s="268" t="s">
        <v>180</v>
      </c>
      <c r="E46" s="232"/>
      <c r="F46" s="232"/>
      <c r="G46" s="232"/>
      <c r="H46" s="232"/>
    </row>
    <row r="47" customFormat="false" ht="15.3" hidden="false" customHeight="true" outlineLevel="0" collapsed="false">
      <c r="A47" s="232"/>
      <c r="B47" s="266" t="s">
        <v>181</v>
      </c>
      <c r="C47" s="267" t="s">
        <v>182</v>
      </c>
      <c r="D47" s="268" t="s">
        <v>183</v>
      </c>
      <c r="E47" s="232"/>
      <c r="F47" s="232"/>
      <c r="G47" s="232"/>
      <c r="H47" s="232"/>
    </row>
    <row r="48" customFormat="false" ht="15.3" hidden="false" customHeight="true" outlineLevel="0" collapsed="false">
      <c r="A48" s="232"/>
      <c r="B48" s="269" t="n">
        <v>0</v>
      </c>
      <c r="C48" s="270" t="n">
        <v>999.84</v>
      </c>
      <c r="D48" s="271" t="n">
        <v>4.217</v>
      </c>
      <c r="E48" s="232"/>
      <c r="F48" s="232"/>
      <c r="G48" s="272"/>
      <c r="H48" s="232"/>
    </row>
    <row r="49" customFormat="false" ht="15.3" hidden="false" customHeight="true" outlineLevel="0" collapsed="false">
      <c r="A49" s="232"/>
      <c r="B49" s="269" t="n">
        <v>1</v>
      </c>
      <c r="C49" s="270" t="n">
        <v>999.87</v>
      </c>
      <c r="D49" s="271" t="n">
        <v>4.214</v>
      </c>
      <c r="E49" s="232"/>
      <c r="F49" s="232"/>
      <c r="G49" s="272"/>
      <c r="H49" s="232"/>
    </row>
    <row r="50" customFormat="false" ht="15.3" hidden="false" customHeight="true" outlineLevel="0" collapsed="false">
      <c r="A50" s="232"/>
      <c r="B50" s="269" t="n">
        <v>2</v>
      </c>
      <c r="C50" s="270" t="n">
        <v>999.9</v>
      </c>
      <c r="D50" s="271" t="n">
        <v>4.211</v>
      </c>
      <c r="E50" s="232"/>
      <c r="F50" s="232"/>
      <c r="G50" s="232"/>
      <c r="H50" s="232"/>
    </row>
    <row r="51" customFormat="false" ht="15.3" hidden="false" customHeight="true" outlineLevel="0" collapsed="false">
      <c r="A51" s="232"/>
      <c r="B51" s="269" t="n">
        <v>3</v>
      </c>
      <c r="C51" s="270" t="n">
        <v>999.97</v>
      </c>
      <c r="D51" s="271" t="n">
        <v>4.208</v>
      </c>
      <c r="E51" s="232"/>
      <c r="F51" s="232"/>
      <c r="G51" s="232"/>
      <c r="H51" s="232"/>
    </row>
    <row r="52" customFormat="false" ht="15.3" hidden="false" customHeight="true" outlineLevel="0" collapsed="false">
      <c r="A52" s="232"/>
      <c r="B52" s="269" t="n">
        <v>4</v>
      </c>
      <c r="C52" s="270" t="n">
        <v>1000</v>
      </c>
      <c r="D52" s="271" t="n">
        <v>4.205</v>
      </c>
      <c r="E52" s="232"/>
      <c r="F52" s="232"/>
      <c r="G52" s="272"/>
      <c r="H52" s="232"/>
    </row>
    <row r="53" customFormat="false" ht="15.3" hidden="false" customHeight="true" outlineLevel="0" collapsed="false">
      <c r="A53" s="232"/>
      <c r="B53" s="269" t="n">
        <v>5</v>
      </c>
      <c r="C53" s="270" t="n">
        <v>999.97</v>
      </c>
      <c r="D53" s="271" t="n">
        <v>4.202</v>
      </c>
      <c r="E53" s="232"/>
      <c r="F53" s="232"/>
      <c r="G53" s="272"/>
      <c r="H53" s="232"/>
    </row>
    <row r="54" customFormat="false" ht="15.3" hidden="false" customHeight="true" outlineLevel="0" collapsed="false">
      <c r="A54" s="232"/>
      <c r="B54" s="269" t="n">
        <v>10</v>
      </c>
      <c r="C54" s="270" t="n">
        <v>999.7</v>
      </c>
      <c r="D54" s="271" t="n">
        <v>4.192</v>
      </c>
      <c r="E54" s="232"/>
      <c r="F54" s="232"/>
      <c r="G54" s="232"/>
      <c r="H54" s="232"/>
    </row>
    <row r="55" customFormat="false" ht="15.3" hidden="false" customHeight="true" outlineLevel="0" collapsed="false">
      <c r="A55" s="232"/>
      <c r="B55" s="269" t="n">
        <v>15</v>
      </c>
      <c r="C55" s="270" t="n">
        <v>999.1</v>
      </c>
      <c r="D55" s="271" t="n">
        <v>4.185</v>
      </c>
      <c r="E55" s="232"/>
      <c r="F55" s="232"/>
      <c r="G55" s="232"/>
      <c r="H55" s="232"/>
    </row>
    <row r="56" customFormat="false" ht="15.3" hidden="false" customHeight="true" outlineLevel="0" collapsed="false">
      <c r="A56" s="232"/>
      <c r="B56" s="269" t="n">
        <v>20</v>
      </c>
      <c r="C56" s="270" t="n">
        <v>998.21</v>
      </c>
      <c r="D56" s="271" t="n">
        <v>4.181</v>
      </c>
      <c r="E56" s="232"/>
      <c r="F56" s="232"/>
      <c r="G56" s="232"/>
      <c r="H56" s="232"/>
    </row>
    <row r="57" customFormat="false" ht="15.3" hidden="false" customHeight="true" outlineLevel="0" collapsed="false">
      <c r="A57" s="232"/>
      <c r="B57" s="269" t="n">
        <v>25</v>
      </c>
      <c r="C57" s="270" t="n">
        <v>997.05</v>
      </c>
      <c r="D57" s="271" t="n">
        <v>4.179</v>
      </c>
      <c r="E57" s="232"/>
      <c r="F57" s="232"/>
      <c r="G57" s="232"/>
      <c r="H57" s="232"/>
    </row>
    <row r="58" customFormat="false" ht="15.3" hidden="false" customHeight="true" outlineLevel="0" collapsed="false">
      <c r="A58" s="232"/>
      <c r="B58" s="269" t="n">
        <v>30</v>
      </c>
      <c r="C58" s="270" t="n">
        <v>995.65</v>
      </c>
      <c r="D58" s="271" t="n">
        <v>4.177</v>
      </c>
      <c r="E58" s="232"/>
      <c r="F58" s="232"/>
      <c r="G58" s="232"/>
      <c r="H58" s="232"/>
    </row>
    <row r="59" customFormat="false" ht="15.3" hidden="false" customHeight="true" outlineLevel="0" collapsed="false">
      <c r="A59" s="232"/>
      <c r="B59" s="269" t="n">
        <v>35</v>
      </c>
      <c r="C59" s="270" t="n">
        <v>994.03</v>
      </c>
      <c r="D59" s="271" t="n">
        <v>4.177</v>
      </c>
      <c r="E59" s="232"/>
      <c r="F59" s="232"/>
      <c r="G59" s="232"/>
      <c r="H59" s="232"/>
    </row>
    <row r="60" customFormat="false" ht="15.3" hidden="false" customHeight="true" outlineLevel="0" collapsed="false">
      <c r="A60" s="232"/>
      <c r="B60" s="269" t="n">
        <v>40</v>
      </c>
      <c r="C60" s="270" t="n">
        <v>992.22</v>
      </c>
      <c r="D60" s="271" t="n">
        <v>4.177</v>
      </c>
      <c r="E60" s="232"/>
      <c r="F60" s="232"/>
      <c r="G60" s="232"/>
      <c r="H60" s="232"/>
    </row>
    <row r="61" customFormat="false" ht="15.3" hidden="false" customHeight="true" outlineLevel="0" collapsed="false">
      <c r="A61" s="232"/>
      <c r="B61" s="269" t="n">
        <v>45</v>
      </c>
      <c r="C61" s="270" t="n">
        <v>990.21</v>
      </c>
      <c r="D61" s="271" t="n">
        <v>4.178</v>
      </c>
      <c r="E61" s="232"/>
      <c r="F61" s="232"/>
      <c r="G61" s="232"/>
      <c r="H61" s="232"/>
    </row>
    <row r="62" customFormat="false" ht="15.3" hidden="false" customHeight="true" outlineLevel="0" collapsed="false">
      <c r="A62" s="232"/>
      <c r="B62" s="269" t="n">
        <v>50</v>
      </c>
      <c r="C62" s="270" t="n">
        <v>988.04</v>
      </c>
      <c r="D62" s="271" t="n">
        <v>4.18</v>
      </c>
      <c r="E62" s="232"/>
      <c r="F62" s="232"/>
      <c r="G62" s="232"/>
      <c r="H62" s="232"/>
    </row>
    <row r="63" customFormat="false" ht="15.3" hidden="false" customHeight="true" outlineLevel="0" collapsed="false">
      <c r="A63" s="232"/>
      <c r="B63" s="269" t="n">
        <v>55</v>
      </c>
      <c r="C63" s="270" t="n">
        <v>985.69</v>
      </c>
      <c r="D63" s="271" t="n">
        <v>4.182</v>
      </c>
      <c r="E63" s="232"/>
      <c r="F63" s="232"/>
      <c r="G63" s="232"/>
      <c r="H63" s="232"/>
    </row>
    <row r="64" customFormat="false" ht="15.3" hidden="false" customHeight="true" outlineLevel="0" collapsed="false">
      <c r="A64" s="232"/>
      <c r="B64" s="269" t="n">
        <v>60</v>
      </c>
      <c r="C64" s="270" t="n">
        <v>983.2</v>
      </c>
      <c r="D64" s="271" t="n">
        <v>4.184</v>
      </c>
      <c r="E64" s="232"/>
      <c r="F64" s="232"/>
      <c r="G64" s="232"/>
      <c r="H64" s="232"/>
    </row>
    <row r="65" customFormat="false" ht="15.3" hidden="false" customHeight="true" outlineLevel="0" collapsed="false">
      <c r="A65" s="232"/>
      <c r="B65" s="269" t="n">
        <v>65</v>
      </c>
      <c r="C65" s="270" t="n">
        <v>980.55</v>
      </c>
      <c r="D65" s="271" t="n">
        <v>4.187</v>
      </c>
      <c r="E65" s="232"/>
      <c r="F65" s="232"/>
      <c r="G65" s="232"/>
      <c r="H65" s="232"/>
    </row>
    <row r="66" customFormat="false" ht="15.3" hidden="false" customHeight="true" outlineLevel="0" collapsed="false">
      <c r="A66" s="232"/>
      <c r="B66" s="269" t="n">
        <v>70</v>
      </c>
      <c r="C66" s="270" t="n">
        <v>977.77</v>
      </c>
      <c r="D66" s="271" t="n">
        <v>4.19</v>
      </c>
      <c r="E66" s="232"/>
      <c r="F66" s="232"/>
      <c r="G66" s="232"/>
      <c r="H66" s="232"/>
    </row>
    <row r="67" customFormat="false" ht="15.3" hidden="false" customHeight="true" outlineLevel="0" collapsed="false">
      <c r="A67" s="232"/>
      <c r="B67" s="269" t="n">
        <v>75</v>
      </c>
      <c r="C67" s="270" t="n">
        <v>974.84</v>
      </c>
      <c r="D67" s="271" t="n">
        <v>4.193</v>
      </c>
      <c r="E67" s="232"/>
      <c r="F67" s="232"/>
      <c r="G67" s="232"/>
      <c r="H67" s="232"/>
    </row>
    <row r="68" customFormat="false" ht="15.3" hidden="false" customHeight="true" outlineLevel="0" collapsed="false">
      <c r="A68" s="232"/>
      <c r="B68" s="269" t="n">
        <v>80</v>
      </c>
      <c r="C68" s="270" t="n">
        <v>971.79</v>
      </c>
      <c r="D68" s="271" t="n">
        <v>4.197</v>
      </c>
      <c r="E68" s="232"/>
      <c r="F68" s="232"/>
      <c r="G68" s="232"/>
      <c r="H68" s="232"/>
    </row>
    <row r="69" customFormat="false" ht="15.3" hidden="false" customHeight="true" outlineLevel="0" collapsed="false">
      <c r="A69" s="232"/>
      <c r="B69" s="269" t="n">
        <v>85</v>
      </c>
      <c r="C69" s="270" t="n">
        <v>968.61</v>
      </c>
      <c r="D69" s="271" t="n">
        <v>4.201</v>
      </c>
      <c r="E69" s="232"/>
      <c r="F69" s="232"/>
      <c r="G69" s="232"/>
      <c r="H69" s="232"/>
    </row>
    <row r="70" customFormat="false" ht="15.3" hidden="false" customHeight="true" outlineLevel="0" collapsed="false">
      <c r="A70" s="232"/>
      <c r="B70" s="269" t="n">
        <v>90</v>
      </c>
      <c r="C70" s="270" t="n">
        <v>965.31</v>
      </c>
      <c r="D70" s="271" t="n">
        <v>4.206</v>
      </c>
      <c r="E70" s="232"/>
      <c r="F70" s="232"/>
      <c r="G70" s="232"/>
      <c r="H70" s="232"/>
    </row>
    <row r="71" customFormat="false" ht="15.3" hidden="false" customHeight="true" outlineLevel="0" collapsed="false">
      <c r="A71" s="232"/>
      <c r="B71" s="269" t="n">
        <v>95</v>
      </c>
      <c r="C71" s="270" t="n">
        <v>961.89</v>
      </c>
      <c r="D71" s="271" t="n">
        <v>4.211</v>
      </c>
      <c r="E71" s="232"/>
      <c r="F71" s="232"/>
      <c r="G71" s="232"/>
      <c r="H71" s="232"/>
    </row>
    <row r="72" customFormat="false" ht="15.3" hidden="false" customHeight="true" outlineLevel="0" collapsed="false">
      <c r="A72" s="232"/>
      <c r="B72" s="269" t="n">
        <v>100</v>
      </c>
      <c r="C72" s="270" t="n">
        <v>958.41</v>
      </c>
      <c r="D72" s="271" t="n">
        <v>4.216</v>
      </c>
      <c r="E72" s="232"/>
      <c r="F72" s="232"/>
      <c r="G72" s="232"/>
      <c r="H72" s="232"/>
    </row>
    <row r="73" customFormat="false" ht="15.3" hidden="false" customHeight="true" outlineLevel="0" collapsed="false">
      <c r="A73" s="232"/>
      <c r="B73" s="269" t="n">
        <v>105</v>
      </c>
      <c r="C73" s="270" t="n">
        <v>954.67</v>
      </c>
      <c r="D73" s="271" t="n">
        <v>4.223</v>
      </c>
      <c r="E73" s="232"/>
      <c r="F73" s="232"/>
      <c r="G73" s="232"/>
      <c r="H73" s="232"/>
    </row>
    <row r="74" customFormat="false" ht="15.3" hidden="false" customHeight="true" outlineLevel="0" collapsed="false">
      <c r="A74" s="232"/>
      <c r="B74" s="269" t="n">
        <v>110</v>
      </c>
      <c r="C74" s="270" t="n">
        <v>950.85</v>
      </c>
      <c r="D74" s="271" t="n">
        <v>4.23</v>
      </c>
      <c r="E74" s="232"/>
      <c r="F74" s="232"/>
      <c r="G74" s="232"/>
      <c r="H74" s="232"/>
    </row>
    <row r="75" customFormat="false" ht="15.3" hidden="false" customHeight="true" outlineLevel="0" collapsed="false">
      <c r="A75" s="232"/>
      <c r="B75" s="269" t="n">
        <v>115</v>
      </c>
      <c r="C75" s="270" t="n">
        <v>946.95</v>
      </c>
      <c r="D75" s="271" t="n">
        <v>4.237</v>
      </c>
      <c r="E75" s="232"/>
      <c r="F75" s="232"/>
      <c r="G75" s="232"/>
      <c r="H75" s="232"/>
    </row>
    <row r="76" customFormat="false" ht="15.3" hidden="false" customHeight="true" outlineLevel="0" collapsed="false">
      <c r="A76" s="232"/>
      <c r="B76" s="273" t="n">
        <v>120</v>
      </c>
      <c r="C76" s="274" t="n">
        <v>942.9</v>
      </c>
      <c r="D76" s="275" t="n">
        <v>4.245</v>
      </c>
      <c r="E76" s="232"/>
      <c r="F76" s="232"/>
      <c r="G76" s="232"/>
      <c r="H76" s="232"/>
    </row>
    <row r="77" customFormat="false" ht="13.8" hidden="false" customHeight="true" outlineLevel="0" collapsed="false">
      <c r="C77" s="276"/>
      <c r="D77" s="276"/>
      <c r="E77" s="276"/>
      <c r="F77" s="276"/>
      <c r="G77" s="276"/>
    </row>
    <row r="78" customFormat="false" ht="13.8" hidden="true" customHeight="true" outlineLevel="0" collapsed="false">
      <c r="C78" s="276" t="s">
        <v>184</v>
      </c>
      <c r="D78" s="276" t="s">
        <v>179</v>
      </c>
      <c r="E78" s="276" t="s">
        <v>185</v>
      </c>
      <c r="F78" s="276"/>
      <c r="G78" s="276"/>
    </row>
    <row r="79" customFormat="false" ht="13.8" hidden="true" customHeight="true" outlineLevel="0" collapsed="false">
      <c r="B79" s="0" t="s">
        <v>186</v>
      </c>
      <c r="C79" s="276" t="n">
        <v>2500</v>
      </c>
      <c r="D79" s="276"/>
      <c r="E79" s="276"/>
      <c r="F79" s="276"/>
      <c r="G79" s="276"/>
    </row>
    <row r="80" customFormat="false" ht="13.8" hidden="true" customHeight="true" outlineLevel="0" collapsed="false">
      <c r="B80" s="0" t="s">
        <v>187</v>
      </c>
      <c r="C80" s="276" t="n">
        <v>1800</v>
      </c>
      <c r="D80" s="276"/>
      <c r="E80" s="276"/>
      <c r="F80" s="276"/>
      <c r="G80" s="276"/>
    </row>
    <row r="81" customFormat="false" ht="13.8" hidden="true" customHeight="true" outlineLevel="0" collapsed="false">
      <c r="B81" s="0" t="s">
        <v>188</v>
      </c>
      <c r="C81" s="276" t="n">
        <v>3545</v>
      </c>
      <c r="D81" s="276" t="n">
        <v>3700</v>
      </c>
      <c r="E81" s="276" t="n">
        <v>0.958</v>
      </c>
      <c r="F81" s="276"/>
      <c r="G81" s="276"/>
    </row>
    <row r="82" customFormat="false" ht="13.8" hidden="true" customHeight="true" outlineLevel="0" collapsed="false">
      <c r="B82" s="0" t="s">
        <v>189</v>
      </c>
      <c r="C82" s="276" t="n">
        <v>1190</v>
      </c>
      <c r="D82" s="276"/>
      <c r="E82" s="276"/>
      <c r="F82" s="276"/>
      <c r="G82" s="276"/>
    </row>
    <row r="83" customFormat="false" ht="13.8" hidden="true" customHeight="true" outlineLevel="0" collapsed="false">
      <c r="B83" s="0" t="s">
        <v>190</v>
      </c>
      <c r="C83" s="277" t="n">
        <v>1.3056</v>
      </c>
      <c r="D83" s="276"/>
      <c r="E83" s="276"/>
      <c r="F83" s="276"/>
      <c r="G83" s="276"/>
    </row>
    <row r="84" customFormat="false" ht="13.8" hidden="true" customHeight="true" outlineLevel="0" collapsed="false">
      <c r="B84" s="0" t="s">
        <v>191</v>
      </c>
      <c r="C84" s="276" t="n">
        <v>1900</v>
      </c>
      <c r="D84" s="276"/>
      <c r="E84" s="276"/>
      <c r="F84" s="276"/>
      <c r="G84" s="276"/>
    </row>
    <row r="85" customFormat="false" ht="13.8" hidden="true" customHeight="true" outlineLevel="0" collapsed="false">
      <c r="B85" s="0" t="s">
        <v>192</v>
      </c>
      <c r="C85" s="276" t="n">
        <v>2685</v>
      </c>
      <c r="D85" s="276" t="n">
        <v>2650</v>
      </c>
      <c r="E85" s="276"/>
      <c r="F85" s="276"/>
      <c r="G85" s="276"/>
    </row>
    <row r="86" customFormat="false" ht="13.8" hidden="true" customHeight="true" outlineLevel="0" collapsed="false">
      <c r="B86" s="0" t="s">
        <v>193</v>
      </c>
      <c r="C86" s="278" t="n">
        <v>4100</v>
      </c>
      <c r="D86" s="276"/>
      <c r="E86" s="276"/>
      <c r="F86" s="276"/>
      <c r="G86" s="276"/>
    </row>
    <row r="87" customFormat="false" ht="13.8" hidden="true" customHeight="true" outlineLevel="0" collapsed="false">
      <c r="B87" s="0" t="s">
        <v>194</v>
      </c>
      <c r="C87" s="276" t="n">
        <v>1500</v>
      </c>
      <c r="D87" s="276"/>
      <c r="E87" s="276"/>
      <c r="F87" s="276"/>
      <c r="G87" s="276"/>
    </row>
    <row r="88" customFormat="false" ht="13.8" hidden="true" customHeight="true" outlineLevel="0" collapsed="false">
      <c r="B88" s="0" t="s">
        <v>40</v>
      </c>
      <c r="C88" s="276" t="n">
        <v>4210</v>
      </c>
      <c r="D88" s="276" t="n">
        <v>999</v>
      </c>
      <c r="E88" s="276"/>
      <c r="F88" s="276"/>
      <c r="G88" s="276"/>
    </row>
    <row r="89" customFormat="false" ht="13.8" hidden="true" customHeight="true" outlineLevel="0" collapsed="false">
      <c r="C89" s="278"/>
      <c r="D89" s="276"/>
      <c r="E89" s="276"/>
      <c r="F89" s="276"/>
      <c r="G89" s="276"/>
    </row>
    <row r="90" customFormat="false" ht="13.8" hidden="false" customHeight="true" outlineLevel="0" collapsed="false">
      <c r="B90" s="279" t="s">
        <v>195</v>
      </c>
      <c r="C90" s="280" t="n">
        <v>3600</v>
      </c>
      <c r="D90" s="281" t="s">
        <v>196</v>
      </c>
      <c r="E90" s="281"/>
      <c r="F90" s="276"/>
      <c r="G90" s="276"/>
    </row>
    <row r="91" customFormat="false" ht="13.8" hidden="false" customHeight="true" outlineLevel="0" collapsed="false">
      <c r="B91" s="282" t="s">
        <v>197</v>
      </c>
      <c r="C91" s="232" t="n">
        <v>60</v>
      </c>
      <c r="D91" s="283" t="s">
        <v>198</v>
      </c>
      <c r="E91" s="283"/>
      <c r="F91" s="276"/>
      <c r="G91" s="276"/>
    </row>
    <row r="92" customFormat="false" ht="13.8" hidden="false" customHeight="true" outlineLevel="0" collapsed="false">
      <c r="B92" s="282" t="s">
        <v>11</v>
      </c>
      <c r="C92" s="232" t="n">
        <v>1</v>
      </c>
      <c r="D92" s="283" t="s">
        <v>199</v>
      </c>
      <c r="E92" s="283"/>
      <c r="F92" s="276"/>
      <c r="G92" s="276"/>
    </row>
    <row r="93" customFormat="false" ht="13.8" hidden="false" customHeight="true" outlineLevel="0" collapsed="false">
      <c r="B93" s="284" t="s">
        <v>200</v>
      </c>
      <c r="C93" s="285" t="n">
        <v>3.6</v>
      </c>
      <c r="D93" s="286" t="s">
        <v>201</v>
      </c>
      <c r="E93" s="286"/>
      <c r="F93" s="276"/>
      <c r="G93" s="276"/>
    </row>
    <row r="94" customFormat="false" ht="13.8" hidden="true" customHeight="true" outlineLevel="0" collapsed="false">
      <c r="C94" s="278"/>
    </row>
    <row r="95" customFormat="false" ht="13.8" hidden="false" customHeight="true" outlineLevel="0" collapsed="false">
      <c r="C95" s="278"/>
    </row>
    <row r="96" customFormat="false" ht="13.8" hidden="false" customHeight="true" outlineLevel="0" collapsed="false">
      <c r="C96" s="278"/>
    </row>
    <row r="97" customFormat="false" ht="13.8" hidden="false" customHeight="true" outlineLevel="0" collapsed="false">
      <c r="C97" s="278"/>
    </row>
    <row r="98" customFormat="false" ht="13.8" hidden="false" customHeight="true" outlineLevel="0" collapsed="false">
      <c r="C98" s="278"/>
    </row>
    <row r="99" customFormat="false" ht="13.8" hidden="true" customHeight="true" outlineLevel="0" collapsed="false">
      <c r="C99" s="287"/>
    </row>
    <row r="100" customFormat="false" ht="13.8" hidden="true" customHeight="true" outlineLevel="0" collapsed="false"/>
  </sheetData>
  <sheetProtection sheet="true" password="b51c" objects="true" scenarios="true" selectLockedCells="true"/>
  <mergeCells count="11">
    <mergeCell ref="B3:H3"/>
    <mergeCell ref="C4:H4"/>
    <mergeCell ref="C5:H5"/>
    <mergeCell ref="C6:H6"/>
    <mergeCell ref="C7:H7"/>
    <mergeCell ref="B8:H8"/>
    <mergeCell ref="B45:D45"/>
    <mergeCell ref="D90:E90"/>
    <mergeCell ref="D91:E91"/>
    <mergeCell ref="D92:E92"/>
    <mergeCell ref="D93:E9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68" activeCellId="0" sqref="F68"/>
    </sheetView>
  </sheetViews>
  <sheetFormatPr defaultColWidth="9.14453125" defaultRowHeight="13.8" zeroHeight="false" outlineLevelRow="0" outlineLevelCol="0"/>
  <cols>
    <col collapsed="false" customWidth="true" hidden="false" outlineLevel="0" max="64" min="1" style="0" width="8.81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1456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2012-02-29T15:06:52Z</dcterms:created>
  <dc:creator> </dc:creator>
  <dc:description/>
  <dc:language>fi-FI</dc:language>
  <cp:lastModifiedBy/>
  <dcterms:modified xsi:type="dcterms:W3CDTF">2024-01-01T13:46:18Z</dcterms:modified>
  <cp:revision>240</cp:revision>
  <dc:subject/>
  <dc:title/>
</cp:coreProperties>
</file>