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 lockWindows="false"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Sheet1!$B$1:$G$41</definedName>
    <definedName function="false" hidden="false" localSheetId="0" name="Excel_BuiltIn_Print_Area" vbProcedure="false">Sheet1!$B$1:$G$35</definedName>
    <definedName function="false" hidden="false" localSheetId="0" name="_xlnm.Print_Area" vbProcedure="false">Sheet1!$B$2:$G$45</definedName>
    <definedName function="false" hidden="false" localSheetId="0" name="_xlnm_Print_Area" vbProcedure="false">Sheet1!$B$1:$G$35</definedName>
    <definedName function="false" hidden="false" localSheetId="0" name="_xlnm_Print_Area_0" vbProcedure="false">Sheet1!$B$1:$G$35</definedName>
    <definedName function="false" hidden="false" localSheetId="0" name="_xlnm_Print_Area_0_0" vbProcedure="false">Sheet1!$B$1:$G$35</definedName>
    <definedName function="false" hidden="false" localSheetId="0" name="_xlnm_Print_Area_0_0_0" vbProcedure="false">Sheet1!$B$1:$G$35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22" authorId="0">
      <text>
        <r>
          <rPr>
            <sz val="10"/>
            <rFont val="Arial"/>
            <family val="2"/>
          </rPr>
          <t xml:space="preserve"> VALITSE</t>
        </r>
      </text>
    </comment>
    <comment ref="D22" authorId="0">
      <text>
        <r>
          <rPr>
            <sz val="10"/>
            <rFont val="Arial"/>
            <family val="2"/>
          </rPr>
          <t xml:space="preserve">  VALITSE</t>
        </r>
      </text>
    </comment>
    <comment ref="G24" authorId="0">
      <text>
        <r>
          <rPr>
            <sz val="10"/>
            <rFont val="Arial"/>
            <family val="2"/>
          </rPr>
          <t xml:space="preserve">Kirjoita      metrimäärä</t>
        </r>
      </text>
    </comment>
    <comment ref="G25" authorId="0">
      <text>
        <r>
          <rPr>
            <sz val="10"/>
            <rFont val="Arial"/>
            <family val="2"/>
          </rPr>
          <t xml:space="preserve"> VALITSE</t>
        </r>
      </text>
    </comment>
  </commentList>
</comments>
</file>

<file path=xl/sharedStrings.xml><?xml version="1.0" encoding="utf-8"?>
<sst xmlns="http://schemas.openxmlformats.org/spreadsheetml/2006/main" count="181" uniqueCount="137">
  <si>
    <t xml:space="preserve">Naturett 30 %</t>
  </si>
  <si>
    <t xml:space="preserve">Maalämpöpumpun keruupiirin painehäviön laskuri</t>
  </si>
  <si>
    <t xml:space="preserve">Ominaislämpö kJ/kg °C</t>
  </si>
  <si>
    <t xml:space="preserve">Soveltuu vedelle ja noin 28 p-% vesi -alkoholiliuokselle.</t>
  </si>
  <si>
    <t xml:space="preserve">Maaviina</t>
  </si>
  <si>
    <t xml:space="preserve">kJ/l</t>
  </si>
  <si>
    <t xml:space="preserve">Tiheys kg/dm3 @ p-% 30</t>
  </si>
  <si>
    <t xml:space="preserve">Lopuksi tulosta laskelma PDF tiedostona</t>
  </si>
  <si>
    <t xml:space="preserve">(Laatijat: Seppälä – Ingalsuo)</t>
  </si>
  <si>
    <t xml:space="preserve">Vesi</t>
  </si>
  <si>
    <t xml:space="preserve">Ominaislämpö kJ/litra °C</t>
  </si>
  <si>
    <t xml:space="preserve">Paikka vapaalle tekstille!</t>
  </si>
  <si>
    <t xml:space="preserve">OHJE</t>
  </si>
  <si>
    <t xml:space="preserve">Laske lämpöpumpulle tarvittava tilavuusvirtaus</t>
  </si>
  <si>
    <t xml:space="preserve">v. 24.11</t>
  </si>
  <si>
    <t xml:space="preserve">Laskettu</t>
  </si>
  <si>
    <t xml:space="preserve">Keruun lämpötila</t>
  </si>
  <si>
    <t xml:space="preserve">C</t>
  </si>
  <si>
    <t xml:space="preserve">Antoteho, kW</t>
  </si>
  <si>
    <t xml:space="preserve">Putken pituus</t>
  </si>
  <si>
    <t xml:space="preserve">m</t>
  </si>
  <si>
    <t xml:space="preserve">COP</t>
  </si>
  <si>
    <t xml:space="preserve">Tämän laskelman oikeellisuutta ei taata!</t>
  </si>
  <si>
    <t xml:space="preserve">Tilavuusvirtaus</t>
  </si>
  <si>
    <t xml:space="preserve">l/s</t>
  </si>
  <si>
    <t xml:space="preserve">Kaivosta otettava teho</t>
  </si>
  <si>
    <t xml:space="preserve">ID</t>
  </si>
  <si>
    <t xml:space="preserve">Sähköverkosta otettava teho</t>
  </si>
  <si>
    <t xml:space="preserve">Aukko</t>
  </si>
  <si>
    <t xml:space="preserve">m2</t>
  </si>
  <si>
    <t xml:space="preserve">Keruun dT, astetta</t>
  </si>
  <si>
    <t xml:space="preserve">Tiheys</t>
  </si>
  <si>
    <t xml:space="preserve">kg/m3</t>
  </si>
  <si>
    <t xml:space="preserve">Ominaislämpö</t>
  </si>
  <si>
    <t xml:space="preserve">Viskositeetti dyn</t>
  </si>
  <si>
    <t xml:space="preserve">Pa*s</t>
  </si>
  <si>
    <t xml:space="preserve">Kaivojen lukumäärä</t>
  </si>
  <si>
    <t xml:space="preserve">Viskositeetti kin</t>
  </si>
  <si>
    <t xml:space="preserve">m2/s</t>
  </si>
  <si>
    <t xml:space="preserve">Maalämpökone tarvitsee virtaamaksi</t>
  </si>
  <si>
    <t xml:space="preserve">Virtaama</t>
  </si>
  <si>
    <t xml:space="preserve">Nopeus</t>
  </si>
  <si>
    <t xml:space="preserve">m/s</t>
  </si>
  <si>
    <t xml:space="preserve">vähintäänkin :</t>
  </si>
  <si>
    <t xml:space="preserve">vähintään</t>
  </si>
  <si>
    <t xml:space="preserve">kaivoa kohden</t>
  </si>
  <si>
    <t xml:space="preserve">Reynolds</t>
  </si>
  <si>
    <t xml:space="preserve">Re</t>
  </si>
  <si>
    <t xml:space="preserve">Litraa/s</t>
  </si>
  <si>
    <t xml:space="preserve">Lami/turb alaraja-arvo L</t>
  </si>
  <si>
    <t xml:space="preserve">Re-1</t>
  </si>
  <si>
    <t xml:space="preserve">Litraa/min</t>
  </si>
  <si>
    <t xml:space="preserve">Lami/turb yläraja-arvo T</t>
  </si>
  <si>
    <t xml:space="preserve">Re-2</t>
  </si>
  <si>
    <t xml:space="preserve">m3/tunti</t>
  </si>
  <si>
    <t xml:space="preserve">Hr painehäviö lamin</t>
  </si>
  <si>
    <t xml:space="preserve">Hr painehäviö turb</t>
  </si>
  <si>
    <t xml:space="preserve">Keruupiirin painehäviö, kun virtaus on →</t>
  </si>
  <si>
    <t xml:space="preserve">kPa</t>
  </si>
  <si>
    <t xml:space="preserve">Valitse neste ja sen lämpötila</t>
  </si>
  <si>
    <t xml:space="preserve">Anna tilavuusvirtaus litraa/sek</t>
  </si>
  <si>
    <t xml:space="preserve">Osuus 1</t>
  </si>
  <si>
    <t xml:space="preserve">Osuus 2</t>
  </si>
  <si>
    <t xml:space="preserve">Osuus 3</t>
  </si>
  <si>
    <t xml:space="preserve">Osuus 4</t>
  </si>
  <si>
    <t xml:space="preserve">Virtaustyyppi</t>
  </si>
  <si>
    <t xml:space="preserve">T / L</t>
  </si>
  <si>
    <t xml:space="preserve">Anna putkiosuuden pituus</t>
  </si>
  <si>
    <t xml:space="preserve">Putkityyppi</t>
  </si>
  <si>
    <t xml:space="preserve">Montako putkea rinnakkain</t>
  </si>
  <si>
    <t xml:space="preserve">lukumäärä</t>
  </si>
  <si>
    <t xml:space="preserve">Hr painehäviö</t>
  </si>
  <si>
    <t xml:space="preserve">Valitse putkityyppi</t>
  </si>
  <si>
    <t xml:space="preserve">tyyppi</t>
  </si>
  <si>
    <t xml:space="preserve">Oma-1</t>
  </si>
  <si>
    <t xml:space="preserve">40x2.4</t>
  </si>
  <si>
    <t xml:space="preserve">Kitkakerroin</t>
  </si>
  <si>
    <t xml:space="preserve">Keruuputken tyyppi</t>
  </si>
  <si>
    <t xml:space="preserve">Hr painehäviö turb korjattu</t>
  </si>
  <si>
    <t xml:space="preserve">Ulkoläpimitta</t>
  </si>
  <si>
    <t xml:space="preserve">mm</t>
  </si>
  <si>
    <t xml:space="preserve">Liukuu L → T</t>
  </si>
  <si>
    <t xml:space="preserve">Seinämän paksuus</t>
  </si>
  <si>
    <t xml:space="preserve">Volyymi</t>
  </si>
  <si>
    <t xml:space="preserve">l/m</t>
  </si>
  <si>
    <t xml:space="preserve">Sisäläpimitta, ID</t>
  </si>
  <si>
    <t xml:space="preserve">Kokonaisvolyymi</t>
  </si>
  <si>
    <t xml:space="preserve">litraa</t>
  </si>
  <si>
    <t xml:space="preserve">Kiertoaika nimellisvirtauksella</t>
  </si>
  <si>
    <t xml:space="preserve">Virtaustyyppi:  Laminaarinen / Turbulentti</t>
  </si>
  <si>
    <t xml:space="preserve">Painehäviö, Pascal /metri</t>
  </si>
  <si>
    <t xml:space="preserve">Pa/metri</t>
  </si>
  <si>
    <t xml:space="preserve">Painehäviö kiloPascal</t>
  </si>
  <si>
    <t xml:space="preserve">Putkilinjan pituus yhteensä metriä</t>
  </si>
  <si>
    <t xml:space="preserve">Nopeuskerroin</t>
  </si>
  <si>
    <t xml:space="preserve">Keruuputkiston nestetilavuus yhteensä</t>
  </si>
  <si>
    <t xml:space="preserve">Kiertoaika yhteensä</t>
  </si>
  <si>
    <t xml:space="preserve">Painehäviö yhteensä, kPa</t>
  </si>
  <si>
    <t xml:space="preserve">Type</t>
  </si>
  <si>
    <t xml:space="preserve">OD</t>
  </si>
  <si>
    <t xml:space="preserve">Seinämä</t>
  </si>
  <si>
    <t xml:space="preserve">Painehäviö yhteensä, bar</t>
  </si>
  <si>
    <t xml:space="preserve">32x2.0</t>
  </si>
  <si>
    <t xml:space="preserve">32x3.0</t>
  </si>
  <si>
    <r>
      <rPr>
        <b val="true"/>
        <sz val="13"/>
        <rFont val="Arial"/>
        <family val="2"/>
      </rPr>
      <t xml:space="preserve">Oma</t>
    </r>
    <r>
      <rPr>
        <sz val="13"/>
        <rFont val="Arial"/>
        <family val="2"/>
      </rPr>
      <t xml:space="preserve">  valinta</t>
    </r>
  </si>
  <si>
    <t xml:space="preserve">40x2.5</t>
  </si>
  <si>
    <t xml:space="preserve">Oma-2</t>
  </si>
  <si>
    <t xml:space="preserve">40x3.7</t>
  </si>
  <si>
    <t xml:space="preserve">Oma-3</t>
  </si>
  <si>
    <t xml:space="preserve">45x2.4</t>
  </si>
  <si>
    <t xml:space="preserve">45x2.7</t>
  </si>
  <si>
    <t xml:space="preserve">45x3.0</t>
  </si>
  <si>
    <t xml:space="preserve">50x2.4</t>
  </si>
  <si>
    <t xml:space="preserve">50x3.0</t>
  </si>
  <si>
    <t xml:space="preserve">50x4.6</t>
  </si>
  <si>
    <t xml:space="preserve">63x3.8</t>
  </si>
  <si>
    <t xml:space="preserve">63x5.8</t>
  </si>
  <si>
    <t xml:space="preserve">GeoPipeM32</t>
  </si>
  <si>
    <t xml:space="preserve">Tc50x4.6</t>
  </si>
  <si>
    <t xml:space="preserve">Tc32x2.0</t>
  </si>
  <si>
    <t xml:space="preserve">Tc32x3.0</t>
  </si>
  <si>
    <t xml:space="preserve">Tc40x2.4</t>
  </si>
  <si>
    <t xml:space="preserve">Tc45x3.0</t>
  </si>
  <si>
    <t xml:space="preserve">Tc40x3.7</t>
  </si>
  <si>
    <t xml:space="preserve">Tc50x3.0</t>
  </si>
  <si>
    <t xml:space="preserve">Nyt valittuna   →</t>
  </si>
  <si>
    <t xml:space="preserve">Tiheys kg/m3</t>
  </si>
  <si>
    <t xml:space="preserve">Viskositeetti dyn Pa*s</t>
  </si>
  <si>
    <t xml:space="preserve">Valittuna  →</t>
  </si>
  <si>
    <t xml:space="preserve">Lämpötila</t>
  </si>
  <si>
    <t xml:space="preserve">Lämpö</t>
  </si>
  <si>
    <t xml:space="preserve">Funktio</t>
  </si>
  <si>
    <t xml:space="preserve">astetta</t>
  </si>
  <si>
    <t xml:space="preserve">kg/m 3</t>
  </si>
  <si>
    <t xml:space="preserve">kJ/kgxC</t>
  </si>
  <si>
    <t xml:space="preserve">t</t>
  </si>
  <si>
    <t xml:space="preserve">dyn visk</t>
  </si>
</sst>
</file>

<file path=xl/styles.xml><?xml version="1.0" encoding="utf-8"?>
<styleSheet xmlns="http://schemas.openxmlformats.org/spreadsheetml/2006/main">
  <numFmts count="33">
    <numFmt numFmtId="164" formatCode="General"/>
    <numFmt numFmtId="165" formatCode="#,##0.0;[RED]\-#,##0.0"/>
    <numFmt numFmtId="166" formatCode="#,##0.000&quot; kJ/l&quot;;[RED]\-#,##0.000&quot; kJ/l&quot;"/>
    <numFmt numFmtId="167" formatCode="General"/>
    <numFmt numFmtId="168" formatCode="dd/mm/yyyy"/>
    <numFmt numFmtId="169" formatCode="#,##0.0&quot; C&quot;;[RED]\-#,##0.0&quot; C&quot;"/>
    <numFmt numFmtId="170" formatCode="#,##0.0&quot; kW&quot;;[RED]\-#,##0.0&quot; kW&quot;"/>
    <numFmt numFmtId="171" formatCode="#,##0&quot; m&quot;;[RED]\-#,##0&quot; m&quot;"/>
    <numFmt numFmtId="172" formatCode="#,##0.0&quot; COP&quot;;[RED]\-#,##0.0&quot; COP&quot;"/>
    <numFmt numFmtId="173" formatCode="#,##0.000&quot; l/s&quot;;[RED]\-#,##0.000&quot; l/s&quot;"/>
    <numFmt numFmtId="174" formatCode="0.000000"/>
    <numFmt numFmtId="175" formatCode="#,##0.0&quot; K&quot;;[RED]\-#,##0.0&quot; K&quot;"/>
    <numFmt numFmtId="176" formatCode="#,##0.00;[RED]\-#,##0.00"/>
    <numFmt numFmtId="177" formatCode="#,##0&quot; kpl&quot;;[RED]\-#,##0&quot; kpl&quot;"/>
    <numFmt numFmtId="178" formatCode="#,##0&quot; kaivoa&quot;;[RED]\-#,##0&quot; kaivoa&quot;"/>
    <numFmt numFmtId="179" formatCode="0.000E+00"/>
    <numFmt numFmtId="180" formatCode="0.000"/>
    <numFmt numFmtId="181" formatCode="0.00"/>
    <numFmt numFmtId="182" formatCode="#,##0&quot; Re&quot;;[RED]\-#,##0&quot; Re&quot;"/>
    <numFmt numFmtId="183" formatCode="#,##0.0&quot; l/min&quot;;[RED]\-#,##0.0&quot; l/min&quot;"/>
    <numFmt numFmtId="184" formatCode="#,##0.00&quot; m3/h&quot;;[RED]\-#,##0.00&quot; m3/h&quot;"/>
    <numFmt numFmtId="185" formatCode="#,##0.000;[RED]\-#,##0.000"/>
    <numFmt numFmtId="186" formatCode="#,##0&quot; C&quot;;[RED]\-#,##0&quot; C&quot;"/>
    <numFmt numFmtId="187" formatCode="#,##0.0&quot; kPa&quot;;[RED]\-#,##0.0&quot; kPa&quot;"/>
    <numFmt numFmtId="188" formatCode="@"/>
    <numFmt numFmtId="189" formatCode="#,##0.00&quot; mm&quot;;[RED]\-#,##0.00&quot; mm&quot;"/>
    <numFmt numFmtId="190" formatCode="#,##0.00&quot; l/m&quot;;[RED]\-#,##0.00&quot; l/m&quot;"/>
    <numFmt numFmtId="191" formatCode="#,##0&quot; litraa&quot;;[RED]\-#,##0&quot; litraa&quot;"/>
    <numFmt numFmtId="192" formatCode="#,##0;[RED]\-#,##0"/>
    <numFmt numFmtId="193" formatCode="#,##0&quot; Pa/m&quot;;[RED]\-#,##0&quot; Pa/m&quot;"/>
    <numFmt numFmtId="194" formatCode="#,##0.0&quot; Pa/m&quot;;[RED]\-#,##0.0&quot; Pa/m&quot;"/>
    <numFmt numFmtId="195" formatCode="#,##0.00&quot; bar&quot;;[RED]\-#,##0.00&quot; bar&quot;"/>
    <numFmt numFmtId="196" formatCode="#,##0.000000;[RED]\-#,##0.000000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b val="true"/>
      <sz val="11"/>
      <name val="Arial"/>
      <family val="2"/>
    </font>
    <font>
      <sz val="10"/>
      <color rgb="FFFFFFFF"/>
      <name val="Arial"/>
      <family val="2"/>
    </font>
    <font>
      <b val="true"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00FF00"/>
        <bgColor rgb="FF33CCCC"/>
      </patternFill>
    </fill>
    <fill>
      <patternFill patternType="solid">
        <fgColor rgb="FFFFFFCC"/>
        <bgColor rgb="FFFFFFFF"/>
      </patternFill>
    </fill>
    <fill>
      <patternFill patternType="solid">
        <fgColor rgb="FFCCCC00"/>
        <bgColor rgb="FFFFCC00"/>
      </patternFill>
    </fill>
    <fill>
      <patternFill patternType="solid">
        <fgColor rgb="FFCCFFFF"/>
        <bgColor rgb="FFCC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7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8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5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0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73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0" fontId="0" fillId="0" borderId="1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7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75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76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6" fontId="11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7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8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9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0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80" fontId="11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8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1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82" fontId="0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73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3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2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83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3" fontId="0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3" fontId="0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4" fontId="0" fillId="4" borderId="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6" fontId="0" fillId="7" borderId="0" xfId="0" applyFont="false" applyBorder="false" applyAlignment="true" applyProtection="true">
      <alignment horizontal="center" vertical="center" textRotation="0" wrapText="false" indent="0" shrinkToFit="false"/>
      <protection locked="false" hidden="true"/>
    </xf>
    <xf numFmtId="167" fontId="12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3" fontId="11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71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77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88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6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8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9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0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90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2" fontId="0" fillId="0" borderId="0" xfId="0" applyFont="false" applyBorder="false" applyAlignment="true" applyProtection="true">
      <alignment horizontal="right" vertical="center" textRotation="0" wrapText="false" indent="0" shrinkToFit="false"/>
      <protection locked="true" hidden="true"/>
    </xf>
    <xf numFmtId="191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3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2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93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2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87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91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7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95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0" fontId="11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5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9" fontId="9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9" fontId="11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89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8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76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96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5" fontId="0" fillId="0" borderId="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85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85" fontId="0" fillId="0" borderId="1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86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5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6" fontId="0" fillId="0" borderId="1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6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85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CC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H11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D44" activeCellId="0" sqref="D4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77"/>
    <col collapsed="false" customWidth="true" hidden="false" outlineLevel="0" max="2" min="2" style="1" width="26.69"/>
    <col collapsed="false" customWidth="true" hidden="false" outlineLevel="0" max="3" min="3" style="2" width="9.84"/>
    <col collapsed="false" customWidth="true" hidden="false" outlineLevel="0" max="6" min="4" style="2" width="14.3"/>
    <col collapsed="false" customWidth="true" hidden="false" outlineLevel="0" max="7" min="7" style="2" width="14.55"/>
    <col collapsed="false" customWidth="false" hidden="false" outlineLevel="0" max="16" min="8" style="1" width="11.53"/>
    <col collapsed="false" customWidth="false" hidden="false" outlineLevel="0" max="17" min="17" style="2" width="11.53"/>
    <col collapsed="false" customWidth="true" hidden="true" outlineLevel="0" max="18" min="18" style="3" width="24.43"/>
    <col collapsed="false" customWidth="true" hidden="true" outlineLevel="0" max="19" min="19" style="2" width="11.73"/>
    <col collapsed="false" customWidth="true" hidden="true" outlineLevel="0" max="20" min="20" style="2" width="15.58"/>
    <col collapsed="false" customWidth="true" hidden="true" outlineLevel="0" max="21" min="21" style="2" width="12.76"/>
    <col collapsed="false" customWidth="true" hidden="true" outlineLevel="0" max="22" min="22" style="2" width="22.9"/>
    <col collapsed="false" customWidth="true" hidden="true" outlineLevel="0" max="23" min="23" style="2" width="12.76"/>
    <col collapsed="false" customWidth="true" hidden="true" outlineLevel="0" max="24" min="24" style="2" width="14.83"/>
    <col collapsed="false" customWidth="true" hidden="true" outlineLevel="0" max="25" min="25" style="2" width="12.76"/>
    <col collapsed="false" customWidth="true" hidden="true" outlineLevel="0" max="26" min="26" style="2" width="14.29"/>
    <col collapsed="false" customWidth="true" hidden="false" outlineLevel="0" max="28" min="27" style="1" width="10.06"/>
    <col collapsed="false" customWidth="true" hidden="false" outlineLevel="0" max="29" min="29" style="1" width="15.01"/>
    <col collapsed="false" customWidth="true" hidden="false" outlineLevel="0" max="64" min="30" style="1" width="10.06"/>
  </cols>
  <sheetData>
    <row r="1" customFormat="false" ht="12.85" hidden="false" customHeight="true" outlineLevel="0" collapsed="false">
      <c r="R1" s="4"/>
      <c r="S1" s="5"/>
      <c r="T1" s="5"/>
      <c r="U1" s="5"/>
      <c r="V1" s="6" t="s">
        <v>0</v>
      </c>
      <c r="W1" s="6"/>
      <c r="X1" s="5"/>
      <c r="Y1" s="5"/>
      <c r="Z1" s="5"/>
    </row>
    <row r="2" customFormat="false" ht="17" hidden="false" customHeight="true" outlineLevel="0" collapsed="false">
      <c r="B2" s="7" t="s">
        <v>1</v>
      </c>
      <c r="C2" s="7"/>
      <c r="D2" s="7"/>
      <c r="E2" s="7"/>
      <c r="F2" s="7"/>
      <c r="G2" s="7"/>
      <c r="K2" s="8"/>
      <c r="L2" s="8"/>
      <c r="M2" s="8" t="str">
        <f aca="false">IF(F24&gt;0,1000*F36,"")</f>
        <v/>
      </c>
      <c r="N2" s="8" t="str">
        <f aca="false">IF(G24&gt;0,1000*G36,"")</f>
        <v/>
      </c>
      <c r="V2" s="9" t="s">
        <v>2</v>
      </c>
      <c r="W2" s="9" t="n">
        <v>4.2373</v>
      </c>
    </row>
    <row r="3" customFormat="false" ht="14.65" hidden="false" customHeight="true" outlineLevel="0" collapsed="false">
      <c r="B3" s="10" t="s">
        <v>3</v>
      </c>
      <c r="C3" s="10"/>
      <c r="D3" s="10"/>
      <c r="E3" s="10"/>
      <c r="F3" s="10"/>
      <c r="G3" s="10"/>
      <c r="H3" s="11"/>
      <c r="I3" s="11"/>
      <c r="J3" s="11"/>
      <c r="K3" s="12"/>
      <c r="L3" s="11"/>
      <c r="M3" s="11"/>
      <c r="N3" s="11"/>
      <c r="O3" s="11"/>
      <c r="P3" s="11"/>
      <c r="Q3" s="11"/>
      <c r="R3" s="3" t="s">
        <v>4</v>
      </c>
      <c r="S3" s="13" t="n">
        <v>4.1</v>
      </c>
      <c r="T3" s="14" t="s">
        <v>5</v>
      </c>
      <c r="V3" s="9" t="s">
        <v>6</v>
      </c>
      <c r="W3" s="9" t="n">
        <f aca="false">T72/1000</f>
        <v>0.9676</v>
      </c>
    </row>
    <row r="4" customFormat="false" ht="14.65" hidden="false" customHeight="true" outlineLevel="0" collapsed="false">
      <c r="B4" s="15" t="s">
        <v>7</v>
      </c>
      <c r="C4" s="15"/>
      <c r="D4" s="15"/>
      <c r="E4" s="15"/>
      <c r="F4" s="16" t="s">
        <v>8</v>
      </c>
      <c r="G4" s="16"/>
      <c r="H4" s="11"/>
      <c r="I4" s="11"/>
      <c r="J4" s="11"/>
      <c r="K4" s="11"/>
      <c r="L4" s="11"/>
      <c r="M4" s="11"/>
      <c r="N4" s="11"/>
      <c r="O4" s="11"/>
      <c r="P4" s="11"/>
      <c r="Q4" s="11"/>
      <c r="R4" s="3" t="s">
        <v>9</v>
      </c>
      <c r="S4" s="13" t="n">
        <f aca="false">VLOOKUP(D22,R86:T114,3)</f>
        <v>4.217</v>
      </c>
      <c r="T4" s="14" t="s">
        <v>5</v>
      </c>
      <c r="V4" s="9" t="s">
        <v>10</v>
      </c>
      <c r="W4" s="9" t="n">
        <f aca="false">W2*W3</f>
        <v>4.10001148</v>
      </c>
    </row>
    <row r="5" customFormat="false" ht="55" hidden="false" customHeight="true" outlineLevel="0" collapsed="false">
      <c r="B5" s="17" t="s">
        <v>11</v>
      </c>
      <c r="C5" s="17"/>
      <c r="D5" s="17"/>
      <c r="E5" s="17"/>
      <c r="F5" s="17"/>
      <c r="G5" s="17"/>
      <c r="H5" s="11"/>
      <c r="I5" s="11"/>
      <c r="J5" s="11"/>
      <c r="K5" s="11"/>
      <c r="L5" s="11"/>
      <c r="M5" s="11"/>
      <c r="N5" s="11"/>
      <c r="O5" s="11"/>
      <c r="P5" s="11"/>
      <c r="Q5" s="11"/>
      <c r="S5" s="9"/>
    </row>
    <row r="6" customFormat="false" ht="18.9" hidden="false" customHeight="true" outlineLevel="0" collapsed="false">
      <c r="B6" s="18" t="s">
        <v>12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9" t="str">
        <f aca="false">C22</f>
        <v>Maaviina</v>
      </c>
      <c r="S6" s="10"/>
      <c r="T6" s="20" t="str">
        <f aca="false">D26</f>
        <v>Oma-1</v>
      </c>
      <c r="U6" s="12"/>
      <c r="V6" s="20" t="str">
        <f aca="false">E26</f>
        <v>40x2.4</v>
      </c>
      <c r="W6" s="12"/>
      <c r="X6" s="20" t="str">
        <f aca="false">F26</f>
        <v>40x2.4</v>
      </c>
      <c r="Y6" s="12"/>
      <c r="Z6" s="20" t="str">
        <f aca="false">G26</f>
        <v>Oma-1</v>
      </c>
    </row>
    <row r="7" customFormat="false" ht="14.15" hidden="false" customHeight="true" outlineLevel="0" collapsed="false">
      <c r="B7" s="21" t="s">
        <v>13</v>
      </c>
      <c r="C7" s="21"/>
      <c r="D7" s="21"/>
      <c r="E7" s="22" t="s">
        <v>14</v>
      </c>
      <c r="F7" s="1" t="s">
        <v>15</v>
      </c>
      <c r="G7" s="23" t="n">
        <f aca="true">TODAY()</f>
        <v>44124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3" t="s">
        <v>16</v>
      </c>
      <c r="S7" s="2" t="s">
        <v>17</v>
      </c>
      <c r="T7" s="24" t="n">
        <f aca="false">$D22</f>
        <v>0</v>
      </c>
      <c r="U7" s="24"/>
      <c r="V7" s="24" t="n">
        <f aca="false">$D22</f>
        <v>0</v>
      </c>
      <c r="W7" s="24"/>
      <c r="X7" s="24" t="n">
        <f aca="false">$D22</f>
        <v>0</v>
      </c>
      <c r="Y7" s="24"/>
      <c r="Z7" s="24" t="n">
        <f aca="false">$D22</f>
        <v>0</v>
      </c>
    </row>
    <row r="8" customFormat="false" ht="14.15" hidden="false" customHeight="true" outlineLevel="0" collapsed="false">
      <c r="B8" s="1" t="s">
        <v>18</v>
      </c>
      <c r="C8" s="25" t="n">
        <v>9.43</v>
      </c>
      <c r="D8" s="26" t="n">
        <f aca="false">C8</f>
        <v>9.43</v>
      </c>
      <c r="E8" s="27"/>
      <c r="F8" s="27"/>
      <c r="H8" s="11"/>
      <c r="I8" s="11"/>
      <c r="J8" s="11"/>
      <c r="K8" s="11"/>
      <c r="L8" s="11"/>
      <c r="M8" s="11"/>
      <c r="N8" s="11"/>
      <c r="O8" s="11"/>
      <c r="P8" s="11"/>
      <c r="Q8" s="11"/>
      <c r="R8" s="9" t="s">
        <v>19</v>
      </c>
      <c r="S8" s="28" t="s">
        <v>20</v>
      </c>
      <c r="T8" s="29" t="n">
        <f aca="false">D24</f>
        <v>366</v>
      </c>
      <c r="U8" s="29"/>
      <c r="V8" s="29" t="n">
        <f aca="false">E24</f>
        <v>430</v>
      </c>
      <c r="W8" s="29"/>
      <c r="X8" s="29" t="n">
        <f aca="false">F24</f>
        <v>0</v>
      </c>
      <c r="Y8" s="29"/>
      <c r="Z8" s="29" t="n">
        <f aca="false">G24</f>
        <v>0</v>
      </c>
    </row>
    <row r="9" customFormat="false" ht="14.15" hidden="false" customHeight="true" outlineLevel="0" collapsed="false">
      <c r="B9" s="1" t="s">
        <v>21</v>
      </c>
      <c r="C9" s="25" t="n">
        <v>4.6</v>
      </c>
      <c r="D9" s="30" t="n">
        <f aca="false">C9</f>
        <v>4.6</v>
      </c>
      <c r="E9" s="27"/>
      <c r="F9" s="31" t="s">
        <v>22</v>
      </c>
      <c r="G9" s="31"/>
      <c r="H9" s="11"/>
      <c r="I9" s="11"/>
      <c r="J9" s="11"/>
      <c r="K9" s="11"/>
      <c r="L9" s="11"/>
      <c r="M9" s="11"/>
      <c r="N9" s="11"/>
      <c r="O9" s="11"/>
      <c r="P9" s="11"/>
      <c r="Q9" s="11"/>
      <c r="R9" s="3" t="s">
        <v>23</v>
      </c>
      <c r="S9" s="2" t="s">
        <v>24</v>
      </c>
      <c r="T9" s="32" t="n">
        <f aca="false">$C23</f>
        <v>0.6</v>
      </c>
      <c r="U9" s="32"/>
      <c r="V9" s="32" t="n">
        <f aca="false">$C23</f>
        <v>0.6</v>
      </c>
      <c r="W9" s="32"/>
      <c r="X9" s="32" t="n">
        <f aca="false">$C23</f>
        <v>0.6</v>
      </c>
      <c r="Y9" s="32"/>
      <c r="Z9" s="32" t="n">
        <f aca="false">$C23</f>
        <v>0.6</v>
      </c>
    </row>
    <row r="10" customFormat="false" ht="14.15" hidden="false" customHeight="true" outlineLevel="0" collapsed="false">
      <c r="B10" s="33" t="s">
        <v>25</v>
      </c>
      <c r="C10" s="33"/>
      <c r="D10" s="26" t="n">
        <f aca="false">D8-D8/D9</f>
        <v>7.38</v>
      </c>
      <c r="F10" s="31"/>
      <c r="G10" s="3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 t="s">
        <v>26</v>
      </c>
      <c r="S10" s="2" t="s">
        <v>20</v>
      </c>
      <c r="T10" s="2" t="n">
        <f aca="false">D30/1000</f>
        <v>0.0354</v>
      </c>
      <c r="V10" s="2" t="n">
        <f aca="false">E30/1000</f>
        <v>0.0352</v>
      </c>
      <c r="X10" s="2" t="n">
        <f aca="false">F30/1000</f>
        <v>0.0352</v>
      </c>
      <c r="Z10" s="2" t="n">
        <f aca="false">G30/1000</f>
        <v>0.0354</v>
      </c>
    </row>
    <row r="11" customFormat="false" ht="14.15" hidden="false" customHeight="true" outlineLevel="0" collapsed="false">
      <c r="B11" s="34" t="s">
        <v>27</v>
      </c>
      <c r="C11" s="34"/>
      <c r="D11" s="35" t="n">
        <f aca="false">D8-D10</f>
        <v>2.05</v>
      </c>
      <c r="E11" s="11"/>
      <c r="F11" s="31"/>
      <c r="G11" s="3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 t="s">
        <v>28</v>
      </c>
      <c r="S11" s="2" t="s">
        <v>29</v>
      </c>
      <c r="T11" s="36" t="n">
        <f aca="false">PI()*POWER(T10/2,2)</f>
        <v>0.000984229562443146</v>
      </c>
      <c r="U11" s="36"/>
      <c r="V11" s="36" t="n">
        <f aca="false">PI()*POWER(V10/2,2)</f>
        <v>0.000973139740375974</v>
      </c>
      <c r="W11" s="36"/>
      <c r="X11" s="36" t="n">
        <f aca="false">PI()*POWER(X10/2,2)</f>
        <v>0.000973139740375974</v>
      </c>
      <c r="Y11" s="36"/>
      <c r="Z11" s="36" t="n">
        <f aca="false">PI()*POWER(Z10/2,2)</f>
        <v>0.000984229562443146</v>
      </c>
    </row>
    <row r="12" customFormat="false" ht="14.15" hidden="false" customHeight="true" outlineLevel="0" collapsed="false">
      <c r="B12" s="1" t="s">
        <v>30</v>
      </c>
      <c r="C12" s="25" t="n">
        <v>3</v>
      </c>
      <c r="D12" s="37" t="n">
        <f aca="false">C12</f>
        <v>3</v>
      </c>
      <c r="F12" s="31"/>
      <c r="G12" s="3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 t="s">
        <v>31</v>
      </c>
      <c r="S12" s="2" t="s">
        <v>32</v>
      </c>
      <c r="T12" s="38" t="n">
        <f aca="false">VLOOKUP($C22,$S72:$W73,2)</f>
        <v>967.6</v>
      </c>
      <c r="U12" s="38"/>
      <c r="V12" s="38" t="n">
        <f aca="false">VLOOKUP($C22,$S72:$W73,3)</f>
        <v>967.6</v>
      </c>
      <c r="W12" s="38"/>
      <c r="X12" s="38" t="n">
        <f aca="false">VLOOKUP($C22,$S72:$W73,4)</f>
        <v>967.6</v>
      </c>
      <c r="Y12" s="38"/>
      <c r="Z12" s="38" t="n">
        <f aca="false">VLOOKUP($C22,$S72:$W73,5)</f>
        <v>967.6</v>
      </c>
    </row>
    <row r="13" customFormat="false" ht="14.15" hidden="false" customHeight="true" outlineLevel="0" collapsed="false">
      <c r="B13" s="1" t="s">
        <v>33</v>
      </c>
      <c r="C13" s="2" t="s">
        <v>5</v>
      </c>
      <c r="D13" s="39" t="n">
        <f aca="false">VLOOKUP(C22,R3:T4,2)</f>
        <v>4.1</v>
      </c>
      <c r="F13" s="40"/>
      <c r="G13" s="4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3" t="s">
        <v>34</v>
      </c>
      <c r="S13" s="2" t="s">
        <v>35</v>
      </c>
      <c r="T13" s="36" t="n">
        <f aca="false">VLOOKUP(R6,S75:W76,2)</f>
        <v>0.00648</v>
      </c>
      <c r="U13" s="36"/>
      <c r="V13" s="36" t="n">
        <f aca="false">VLOOKUP(R6,S75:W76,3)</f>
        <v>0.00648</v>
      </c>
      <c r="W13" s="36"/>
      <c r="X13" s="36" t="n">
        <f aca="false">VLOOKUP(R6,S75:W76,4)</f>
        <v>0.00648</v>
      </c>
      <c r="Y13" s="36"/>
      <c r="Z13" s="36" t="n">
        <f aca="false">VLOOKUP(R6,S75:W76,5)</f>
        <v>0.00648</v>
      </c>
    </row>
    <row r="14" customFormat="false" ht="14.15" hidden="false" customHeight="true" outlineLevel="0" collapsed="false">
      <c r="B14" s="11" t="s">
        <v>36</v>
      </c>
      <c r="C14" s="41" t="n">
        <v>1</v>
      </c>
      <c r="D14" s="42" t="str">
        <f aca="false">"Valittu "&amp;C14&amp;" kpl"</f>
        <v>Valittu 1 kpl</v>
      </c>
      <c r="E14" s="43" t="str">
        <f aca="false">IF(C14&lt;2,C14&amp;" kaivo",C14&amp;" kaivoa")</f>
        <v>1 kaivo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3" t="s">
        <v>37</v>
      </c>
      <c r="S14" s="2" t="s">
        <v>38</v>
      </c>
      <c r="T14" s="44" t="n">
        <f aca="false">T13/T12</f>
        <v>6.69698222405953E-006</v>
      </c>
      <c r="U14" s="44"/>
      <c r="V14" s="44" t="n">
        <f aca="false">V13/V12</f>
        <v>6.69698222405953E-006</v>
      </c>
      <c r="W14" s="44"/>
      <c r="X14" s="44" t="n">
        <f aca="false">X13/X12</f>
        <v>6.69698222405953E-006</v>
      </c>
      <c r="Y14" s="44"/>
      <c r="Z14" s="44" t="n">
        <f aca="false">Z13/Z12</f>
        <v>6.69698222405953E-006</v>
      </c>
    </row>
    <row r="15" customFormat="false" ht="14.15" hidden="false" customHeight="true" outlineLevel="0" collapsed="false">
      <c r="B15" s="34" t="s">
        <v>39</v>
      </c>
      <c r="C15" s="34"/>
      <c r="D15" s="45" t="s">
        <v>40</v>
      </c>
      <c r="E15" s="45" t="s">
        <v>40</v>
      </c>
      <c r="F15" s="40"/>
      <c r="G15" s="4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3" t="s">
        <v>41</v>
      </c>
      <c r="S15" s="2" t="s">
        <v>42</v>
      </c>
      <c r="T15" s="46" t="n">
        <f aca="false">(T9/T11/1000)/D25</f>
        <v>0.60961387759033</v>
      </c>
      <c r="U15" s="46"/>
      <c r="V15" s="46" t="n">
        <f aca="false">(V9/V11/1000)/E25</f>
        <v>0.61656098821757</v>
      </c>
      <c r="W15" s="46"/>
      <c r="X15" s="46" t="n">
        <f aca="false">(X9/X11/1000)/F25</f>
        <v>0.61656098821757</v>
      </c>
      <c r="Y15" s="46"/>
      <c r="Z15" s="46" t="n">
        <f aca="false">(Z9/Z11/1000)/G25</f>
        <v>0.60961387759033</v>
      </c>
    </row>
    <row r="16" customFormat="false" ht="14.15" hidden="false" customHeight="true" outlineLevel="0" collapsed="false">
      <c r="B16" s="11" t="s">
        <v>43</v>
      </c>
      <c r="D16" s="47" t="s">
        <v>44</v>
      </c>
      <c r="E16" s="48" t="s">
        <v>45</v>
      </c>
      <c r="F16" s="40"/>
      <c r="G16" s="4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" t="s">
        <v>46</v>
      </c>
      <c r="S16" s="49" t="s">
        <v>47</v>
      </c>
      <c r="T16" s="50" t="n">
        <f aca="false">T15*T10/T14</f>
        <v>3222.39637865072</v>
      </c>
      <c r="U16" s="50"/>
      <c r="V16" s="50" t="n">
        <f aca="false">V15*V10/V14</f>
        <v>3240.70544898396</v>
      </c>
      <c r="W16" s="50"/>
      <c r="X16" s="50" t="n">
        <f aca="false">X15*X10/X14</f>
        <v>3240.70544898396</v>
      </c>
      <c r="Y16" s="50"/>
      <c r="Z16" s="50" t="n">
        <f aca="false">Z15*Z10/Z14</f>
        <v>3222.39637865072</v>
      </c>
    </row>
    <row r="17" customFormat="false" ht="14.15" hidden="false" customHeight="true" outlineLevel="0" collapsed="false">
      <c r="B17" s="1" t="s">
        <v>23</v>
      </c>
      <c r="C17" s="2" t="s">
        <v>48</v>
      </c>
      <c r="D17" s="51" t="n">
        <f aca="false">D10/D12/D13</f>
        <v>0.6</v>
      </c>
      <c r="E17" s="52" t="n">
        <f aca="false">D17/C$14</f>
        <v>0.6</v>
      </c>
      <c r="F17" s="40"/>
      <c r="G17" s="4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" t="s">
        <v>49</v>
      </c>
      <c r="S17" s="53" t="s">
        <v>50</v>
      </c>
      <c r="T17" s="2" t="n">
        <f aca="false">IF(T8&lt;1,"-",VLOOKUP(T6,$R41:$W65,5,1))</f>
        <v>1100</v>
      </c>
      <c r="V17" s="2" t="n">
        <f aca="false">IF(V8&lt;1,"-",VLOOKUP(V6,$R41:$W65,5,1))</f>
        <v>1100</v>
      </c>
      <c r="X17" s="2" t="str">
        <f aca="false">IF(X8&lt;1,"-",VLOOKUP(X6,$R41:$W65,5,1))</f>
        <v>-</v>
      </c>
      <c r="Z17" s="2" t="str">
        <f aca="false">IF(Z8&lt;1,"-",VLOOKUP(Z6,$R41:$W65,5,1))</f>
        <v>-</v>
      </c>
    </row>
    <row r="18" customFormat="false" ht="14.15" hidden="false" customHeight="true" outlineLevel="0" collapsed="false">
      <c r="B18" s="1" t="s">
        <v>23</v>
      </c>
      <c r="C18" s="2" t="s">
        <v>51</v>
      </c>
      <c r="D18" s="54" t="n">
        <f aca="false">60*D17</f>
        <v>36</v>
      </c>
      <c r="E18" s="55" t="n">
        <f aca="false">D18/C$14</f>
        <v>36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3" t="s">
        <v>52</v>
      </c>
      <c r="S18" s="53" t="s">
        <v>53</v>
      </c>
      <c r="T18" s="2" t="n">
        <f aca="false">IF(T8&lt;1,"-",VLOOKUP(T6,$R41:$W65,6,1))</f>
        <v>3700</v>
      </c>
      <c r="V18" s="2" t="n">
        <f aca="false">IF(V8&lt;1,"-",VLOOKUP(V6,$R41:$W65,6,1))</f>
        <v>3700</v>
      </c>
      <c r="X18" s="2" t="str">
        <f aca="false">IF(X8&lt;1,"-",VLOOKUP(X6,$R41:$W65,6,1))</f>
        <v>-</v>
      </c>
      <c r="Z18" s="2" t="str">
        <f aca="false">IF(Z8&lt;1,"-",VLOOKUP(Z6,$R41:$W65,6,1))</f>
        <v>-</v>
      </c>
    </row>
    <row r="19" customFormat="false" ht="14.15" hidden="false" customHeight="true" outlineLevel="0" collapsed="false">
      <c r="B19" s="1" t="s">
        <v>23</v>
      </c>
      <c r="C19" s="2" t="s">
        <v>54</v>
      </c>
      <c r="D19" s="56" t="n">
        <f aca="false">60*D18/1000</f>
        <v>2.16</v>
      </c>
      <c r="E19" s="57" t="n">
        <f aca="false">D19/C$14</f>
        <v>2.16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" t="s">
        <v>55</v>
      </c>
      <c r="S19" s="2" t="s">
        <v>20</v>
      </c>
      <c r="T19" s="46" t="n">
        <f aca="false">(64*T8*POWER(T15,2))/(T16*T10*2*9.82)</f>
        <v>3.88550116062128</v>
      </c>
      <c r="U19" s="46"/>
      <c r="V19" s="46" t="n">
        <f aca="false">(64*V8*POWER(V15,2))/(V16*V10*2*9.82)</f>
        <v>4.66956911020504</v>
      </c>
      <c r="W19" s="46"/>
      <c r="X19" s="46" t="n">
        <f aca="false">(64*X8*POWER(X15,2))/(X16*X10*2*9.82)</f>
        <v>0</v>
      </c>
      <c r="Y19" s="46"/>
      <c r="Z19" s="46" t="n">
        <f aca="false">(64*Z8*POWER(Z15,2))/(Z16*Z10*2*9.82)</f>
        <v>0</v>
      </c>
    </row>
    <row r="20" customFormat="false" ht="14.15" hidden="false" customHeight="true" outlineLevel="0" collapsed="false">
      <c r="B20" s="11"/>
      <c r="C20" s="11"/>
      <c r="D20" s="11"/>
      <c r="E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" t="s">
        <v>56</v>
      </c>
      <c r="S20" s="2" t="s">
        <v>20</v>
      </c>
      <c r="T20" s="46" t="n">
        <f aca="false">0.34844*POWER(T16,-0.25959)*T8*POWER(T15,2)/(T10*2*9.82)</f>
        <v>8.37309191133165</v>
      </c>
      <c r="U20" s="46"/>
      <c r="V20" s="46" t="n">
        <f aca="false">0.34844*POWER(V16,-0.25959)*V8*POWER(V15,2)/(V10*2*9.82)</f>
        <v>10.1050269154407</v>
      </c>
      <c r="W20" s="46"/>
      <c r="X20" s="46" t="n">
        <f aca="false">0.34844*POWER(X16,-0.25959)*X8*POWER(X15,2)/(X10*2*9.82)</f>
        <v>0</v>
      </c>
      <c r="Y20" s="46"/>
      <c r="Z20" s="46" t="n">
        <f aca="false">0.34844*POWER(Z16,-0.25959)*Z8*POWER(Z15,2)/(Z10*2*9.82)</f>
        <v>0</v>
      </c>
    </row>
    <row r="21" customFormat="false" ht="14.15" hidden="false" customHeight="true" outlineLevel="0" collapsed="false">
      <c r="B21" s="58" t="s">
        <v>57</v>
      </c>
      <c r="C21" s="58"/>
      <c r="D21" s="58"/>
      <c r="E21" s="59" t="n">
        <f aca="false">C23</f>
        <v>0.6</v>
      </c>
      <c r="F21" s="60" t="n">
        <f aca="false">60*E21</f>
        <v>36</v>
      </c>
      <c r="G21" s="61" t="n">
        <f aca="false">60*F21/1000</f>
        <v>2.16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3" t="s">
        <v>55</v>
      </c>
      <c r="S21" s="2" t="s">
        <v>58</v>
      </c>
      <c r="T21" s="62" t="n">
        <f aca="false">T12*9.82*T19/1000</f>
        <v>36.9193792640284</v>
      </c>
      <c r="U21" s="62"/>
      <c r="V21" s="62" t="n">
        <f aca="false">V12*9.82*V19/1000</f>
        <v>44.3694611975578</v>
      </c>
      <c r="W21" s="62"/>
      <c r="X21" s="62" t="n">
        <f aca="false">X12*9.82*X19/1000</f>
        <v>0</v>
      </c>
      <c r="Y21" s="62"/>
      <c r="Z21" s="62" t="n">
        <f aca="false">Z12*9.82*Z19/1000</f>
        <v>0</v>
      </c>
    </row>
    <row r="22" customFormat="false" ht="14.15" hidden="false" customHeight="true" outlineLevel="0" collapsed="false">
      <c r="B22" s="11" t="s">
        <v>59</v>
      </c>
      <c r="C22" s="63" t="s">
        <v>4</v>
      </c>
      <c r="D22" s="64" t="n">
        <v>0</v>
      </c>
      <c r="E22" s="65" t="str">
        <f aca="false">C22</f>
        <v>Maaviina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3" t="s">
        <v>56</v>
      </c>
      <c r="S22" s="2" t="s">
        <v>58</v>
      </c>
      <c r="T22" s="62" t="n">
        <f aca="false">T12*9.82*T20/1000</f>
        <v>79.5597126620322</v>
      </c>
      <c r="U22" s="62"/>
      <c r="V22" s="62" t="n">
        <f aca="false">V12*9.82*V20/1000</f>
        <v>96.0162681059953</v>
      </c>
      <c r="W22" s="62"/>
      <c r="X22" s="62" t="n">
        <f aca="false">X12*9.82*X20/1000</f>
        <v>0</v>
      </c>
      <c r="Y22" s="62"/>
      <c r="Z22" s="62" t="n">
        <f aca="false">Z12*9.82*Z20/1000</f>
        <v>0</v>
      </c>
    </row>
    <row r="23" customFormat="false" ht="14.15" hidden="false" customHeight="true" outlineLevel="0" collapsed="false">
      <c r="B23" s="1" t="s">
        <v>60</v>
      </c>
      <c r="C23" s="66" t="n">
        <f aca="false">E17</f>
        <v>0.6</v>
      </c>
      <c r="D23" s="67" t="s">
        <v>61</v>
      </c>
      <c r="E23" s="67" t="s">
        <v>62</v>
      </c>
      <c r="F23" s="67" t="s">
        <v>63</v>
      </c>
      <c r="G23" s="67" t="s">
        <v>64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" t="s">
        <v>65</v>
      </c>
      <c r="S23" s="2" t="s">
        <v>66</v>
      </c>
      <c r="T23" s="68" t="str">
        <f aca="false">IF(T8&lt;1," - ",IF(T16&gt;T18,"Turbulent",IF(T16&gt;T17,"L → T","Laminar")))</f>
        <v>L → T</v>
      </c>
      <c r="U23" s="68"/>
      <c r="V23" s="68" t="str">
        <f aca="false">IF(V8&lt;1," - ",IF(V16&gt;V18,"Turbulent",IF(V16&gt;V17,"L → T","Laminar")))</f>
        <v>L → T</v>
      </c>
      <c r="W23" s="68"/>
      <c r="X23" s="68" t="str">
        <f aca="false">IF(X8&lt;1," - ",IF(X16&gt;X18,"Turbulent",IF(X16&gt;X17,"L → T","Laminar")))</f>
        <v> - </v>
      </c>
      <c r="Y23" s="68"/>
      <c r="Z23" s="68" t="str">
        <f aca="false">IF(Z8&lt;1," - ",IF(Z16&gt;Z18,"Turbulent",IF(Z16&gt;Z17,"L → T","Laminar")))</f>
        <v> - </v>
      </c>
    </row>
    <row r="24" customFormat="false" ht="14.15" hidden="false" customHeight="true" outlineLevel="0" collapsed="false">
      <c r="B24" s="1" t="s">
        <v>67</v>
      </c>
      <c r="C24" s="2" t="s">
        <v>20</v>
      </c>
      <c r="D24" s="69" t="n">
        <v>366</v>
      </c>
      <c r="E24" s="69" t="n">
        <v>430</v>
      </c>
      <c r="F24" s="69" t="n">
        <v>0</v>
      </c>
      <c r="G24" s="69" t="n"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" t="s">
        <v>68</v>
      </c>
      <c r="S24" s="68"/>
      <c r="T24" s="68" t="str">
        <f aca="false">D27</f>
        <v>Tavallinen putki</v>
      </c>
      <c r="U24" s="68"/>
      <c r="V24" s="70" t="str">
        <f aca="false">E27</f>
        <v>Tavallinen putki</v>
      </c>
      <c r="W24" s="70"/>
      <c r="X24" s="70" t="str">
        <f aca="false">F27</f>
        <v>Tavallinen putki</v>
      </c>
      <c r="Y24" s="70"/>
      <c r="Z24" s="70" t="str">
        <f aca="false">G27</f>
        <v>Tavallinen putki</v>
      </c>
    </row>
    <row r="25" customFormat="false" ht="14.15" hidden="false" customHeight="true" outlineLevel="0" collapsed="false">
      <c r="B25" s="1" t="s">
        <v>69</v>
      </c>
      <c r="C25" s="2" t="s">
        <v>70</v>
      </c>
      <c r="D25" s="71" t="n">
        <v>1</v>
      </c>
      <c r="E25" s="71" t="n">
        <v>1</v>
      </c>
      <c r="F25" s="71" t="n">
        <v>1</v>
      </c>
      <c r="G25" s="71" t="n">
        <v>1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3" t="s">
        <v>71</v>
      </c>
      <c r="S25" s="2" t="s">
        <v>58</v>
      </c>
      <c r="T25" s="72" t="n">
        <f aca="false">IF(T16&gt;T17,T22,T21)</f>
        <v>79.5597126620322</v>
      </c>
      <c r="U25" s="72"/>
      <c r="V25" s="72" t="n">
        <f aca="false">IF(V16&gt;V17,V22,V21)*V26</f>
        <v>96.0162681059953</v>
      </c>
      <c r="W25" s="72"/>
      <c r="X25" s="72" t="n">
        <f aca="false">IF(X16&gt;X17,X22,X21)*X26</f>
        <v>0</v>
      </c>
      <c r="Y25" s="72"/>
      <c r="Z25" s="72" t="n">
        <f aca="false">IF(Z16&gt;Z17,Z22,Z21)*Z26</f>
        <v>0</v>
      </c>
    </row>
    <row r="26" customFormat="false" ht="14.15" hidden="false" customHeight="true" outlineLevel="0" collapsed="false">
      <c r="B26" s="1" t="s">
        <v>72</v>
      </c>
      <c r="C26" s="2" t="s">
        <v>73</v>
      </c>
      <c r="D26" s="73" t="s">
        <v>74</v>
      </c>
      <c r="E26" s="73" t="s">
        <v>75</v>
      </c>
      <c r="F26" s="73" t="s">
        <v>75</v>
      </c>
      <c r="G26" s="73" t="s">
        <v>74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" t="s">
        <v>76</v>
      </c>
      <c r="S26" s="74"/>
      <c r="T26" s="75" t="n">
        <f aca="false">IF(D42="T",$S37*T15+T80,1)</f>
        <v>1</v>
      </c>
      <c r="U26" s="75"/>
      <c r="V26" s="75" t="n">
        <f aca="false">IF(E42="T",$S37*V15+U80,1)</f>
        <v>1</v>
      </c>
      <c r="W26" s="75"/>
      <c r="X26" s="75" t="n">
        <f aca="false">IF(F42="T",$S37*X15+V80,1)</f>
        <v>1</v>
      </c>
      <c r="Y26" s="75"/>
      <c r="Z26" s="75" t="n">
        <f aca="false">IF(G42="T",$S37*Z15+W80,1)</f>
        <v>1</v>
      </c>
    </row>
    <row r="27" customFormat="false" ht="14.15" hidden="false" customHeight="true" outlineLevel="0" collapsed="false">
      <c r="B27" s="11" t="s">
        <v>77</v>
      </c>
      <c r="C27" s="11"/>
      <c r="D27" s="76" t="str">
        <f aca="false">IF(D42="T","Turbocollector","Tavallinen putki")</f>
        <v>Tavallinen putki</v>
      </c>
      <c r="E27" s="76" t="str">
        <f aca="false">IF(E42="T","Turbocollector","Tavallinen putki")</f>
        <v>Tavallinen putki</v>
      </c>
      <c r="F27" s="76" t="str">
        <f aca="false">IF(F42="T","Turbocollector","Tavallinen putki")</f>
        <v>Tavallinen putki</v>
      </c>
      <c r="G27" s="76" t="str">
        <f aca="false">IF(G42="T","Turbocollector","Tavallinen putki")</f>
        <v>Tavallinen putki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" t="s">
        <v>78</v>
      </c>
      <c r="S27" s="68" t="s">
        <v>58</v>
      </c>
      <c r="T27" s="72" t="n">
        <f aca="false">T26*T22</f>
        <v>79.5597126620322</v>
      </c>
      <c r="U27" s="72"/>
      <c r="V27" s="72" t="n">
        <f aca="false">V26*V22</f>
        <v>96.0162681059953</v>
      </c>
      <c r="W27" s="72"/>
      <c r="X27" s="72" t="n">
        <f aca="false">X26*X22</f>
        <v>0</v>
      </c>
      <c r="Y27" s="72"/>
      <c r="Z27" s="72" t="n">
        <f aca="false">Z26*Z22</f>
        <v>0</v>
      </c>
    </row>
    <row r="28" customFormat="false" ht="14.15" hidden="false" customHeight="true" outlineLevel="0" collapsed="false">
      <c r="B28" s="1" t="s">
        <v>79</v>
      </c>
      <c r="C28" s="2" t="s">
        <v>80</v>
      </c>
      <c r="D28" s="77" t="n">
        <f aca="false">VLOOKUP(D26,$R$41:$W$65,2)</f>
        <v>40</v>
      </c>
      <c r="E28" s="77" t="n">
        <f aca="false">VLOOKUP(E26,$R$41:$W$65,2)</f>
        <v>40</v>
      </c>
      <c r="F28" s="77" t="n">
        <f aca="false">VLOOKUP(F26,$R$41:$W$65,2)</f>
        <v>40</v>
      </c>
      <c r="G28" s="77" t="n">
        <f aca="false">VLOOKUP(G26,$R$41:$W$65,2)</f>
        <v>40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" t="s">
        <v>81</v>
      </c>
      <c r="S28" s="2" t="s">
        <v>58</v>
      </c>
      <c r="T28" s="72" t="n">
        <f aca="false">T34</f>
        <v>71.726952028791</v>
      </c>
      <c r="U28" s="72"/>
      <c r="V28" s="72" t="n">
        <f aca="false">V34</f>
        <v>86.892769263525</v>
      </c>
      <c r="W28" s="72"/>
      <c r="X28" s="72" t="n">
        <f aca="false">X34</f>
        <v>0</v>
      </c>
      <c r="Y28" s="72"/>
      <c r="Z28" s="72" t="n">
        <f aca="false">Z34</f>
        <v>0</v>
      </c>
    </row>
    <row r="29" customFormat="false" ht="14.15" hidden="false" customHeight="true" outlineLevel="0" collapsed="false">
      <c r="B29" s="1" t="s">
        <v>82</v>
      </c>
      <c r="C29" s="2" t="s">
        <v>80</v>
      </c>
      <c r="D29" s="77" t="n">
        <f aca="false">VLOOKUP(D26,$R$41:$W$65,3)</f>
        <v>2.3</v>
      </c>
      <c r="E29" s="77" t="n">
        <f aca="false">VLOOKUP(E26,$R$41:$W$65,3)</f>
        <v>2.4</v>
      </c>
      <c r="F29" s="77" t="n">
        <f aca="false">VLOOKUP(F26,$R$41:$W$65,3)</f>
        <v>2.4</v>
      </c>
      <c r="G29" s="77" t="n">
        <f aca="false">VLOOKUP(G26,$R$41:$W$65,3)</f>
        <v>2.3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3" t="s">
        <v>83</v>
      </c>
      <c r="S29" s="2" t="s">
        <v>84</v>
      </c>
      <c r="T29" s="78" t="n">
        <f aca="false">1000*T11</f>
        <v>0.984229562443146</v>
      </c>
      <c r="U29" s="78"/>
      <c r="V29" s="78" t="n">
        <f aca="false">1000*V11</f>
        <v>0.973139740375974</v>
      </c>
      <c r="W29" s="78"/>
      <c r="X29" s="78" t="n">
        <f aca="false">1000*X11</f>
        <v>0.973139740375974</v>
      </c>
      <c r="Y29" s="78"/>
      <c r="Z29" s="78" t="n">
        <f aca="false">1000*Z11</f>
        <v>0.984229562443146</v>
      </c>
    </row>
    <row r="30" customFormat="false" ht="14.15" hidden="false" customHeight="true" outlineLevel="0" collapsed="false">
      <c r="B30" s="1" t="s">
        <v>85</v>
      </c>
      <c r="C30" s="2" t="s">
        <v>80</v>
      </c>
      <c r="D30" s="77" t="n">
        <f aca="false">VLOOKUP(D26,$R$41:$W$65,4)</f>
        <v>35.4</v>
      </c>
      <c r="E30" s="77" t="n">
        <f aca="false">VLOOKUP(E26,$R$41:$W$65,4)</f>
        <v>35.2</v>
      </c>
      <c r="F30" s="77" t="n">
        <f aca="false">VLOOKUP(F26,$R$41:$W$65,4)</f>
        <v>35.2</v>
      </c>
      <c r="G30" s="77" t="n">
        <f aca="false">VLOOKUP(G26,$R$41:$W$65,4)</f>
        <v>35.4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14.15" hidden="false" customHeight="true" outlineLevel="0" collapsed="false">
      <c r="B31" s="11" t="s">
        <v>83</v>
      </c>
      <c r="C31" s="2" t="s">
        <v>84</v>
      </c>
      <c r="D31" s="79" t="n">
        <f aca="false">T29</f>
        <v>0.984229562443146</v>
      </c>
      <c r="E31" s="79" t="n">
        <f aca="false">V29</f>
        <v>0.973139740375974</v>
      </c>
      <c r="F31" s="79" t="n">
        <f aca="false">X29</f>
        <v>0.973139740375974</v>
      </c>
      <c r="G31" s="79" t="n">
        <f aca="false">Z29</f>
        <v>0.984229562443146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"/>
      <c r="S31" s="80" t="n">
        <v>1</v>
      </c>
      <c r="T31" s="75" t="n">
        <f aca="false">T21</f>
        <v>36.9193792640284</v>
      </c>
      <c r="U31" s="80" t="n">
        <v>1</v>
      </c>
      <c r="V31" s="75" t="n">
        <f aca="false">V21</f>
        <v>44.3694611975578</v>
      </c>
      <c r="W31" s="80" t="n">
        <v>1</v>
      </c>
      <c r="X31" s="75" t="n">
        <f aca="false">X21</f>
        <v>0</v>
      </c>
      <c r="Y31" s="80" t="n">
        <v>1</v>
      </c>
      <c r="Z31" s="75" t="n">
        <f aca="false">Z21</f>
        <v>0</v>
      </c>
    </row>
    <row r="32" customFormat="false" ht="14.15" hidden="false" customHeight="true" outlineLevel="0" collapsed="false">
      <c r="B32" s="11" t="s">
        <v>86</v>
      </c>
      <c r="C32" s="2" t="s">
        <v>87</v>
      </c>
      <c r="D32" s="81" t="n">
        <f aca="false">D25*D24*D31</f>
        <v>360.228019854192</v>
      </c>
      <c r="E32" s="81" t="n">
        <f aca="false">E25*E24*E31</f>
        <v>418.450088361669</v>
      </c>
      <c r="F32" s="81" t="n">
        <f aca="false">F25*F24*F31</f>
        <v>0</v>
      </c>
      <c r="G32" s="81" t="n">
        <f aca="false">G25*G24*G31</f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"/>
      <c r="S32" s="80" t="n">
        <f aca="false">T17</f>
        <v>1100</v>
      </c>
      <c r="T32" s="75" t="n">
        <f aca="false">IF(T8&lt;1,0,(T16-S32)*(T33-T31)/(S33-S32)+T31)</f>
        <v>71.726952028791</v>
      </c>
      <c r="U32" s="80" t="n">
        <f aca="false">V17</f>
        <v>1100</v>
      </c>
      <c r="V32" s="62" t="n">
        <f aca="false">IF(V8&lt;1,0,(V16-U32)*(V33-V31)/(U33-U32)+V31)</f>
        <v>86.892769263525</v>
      </c>
      <c r="W32" s="80" t="str">
        <f aca="false">X17</f>
        <v>-</v>
      </c>
      <c r="X32" s="62" t="n">
        <f aca="false">IF(X8&lt;1,0,(X16-W32)*(X33-X31)/(W33-W32)+X31)</f>
        <v>0</v>
      </c>
      <c r="Y32" s="80" t="str">
        <f aca="false">Z17</f>
        <v>-</v>
      </c>
      <c r="Z32" s="62" t="n">
        <f aca="false">IF(Z8&lt;1,0,(Z16-Y32)*(Z33-Z31)/(Y33-Y32)+Z31)</f>
        <v>0</v>
      </c>
    </row>
    <row r="33" customFormat="false" ht="14.15" hidden="false" customHeight="true" outlineLevel="0" collapsed="false">
      <c r="B33" s="1" t="s">
        <v>88</v>
      </c>
      <c r="C33" s="82" t="n">
        <f aca="false">C23</f>
        <v>0.6</v>
      </c>
      <c r="D33" s="83" t="str">
        <f aca="false">IF((D32/$C23)&lt;1," - ",ROUND(10*D32/$C23/60,0)/10&amp;" min")</f>
        <v>10 min</v>
      </c>
      <c r="E33" s="83" t="str">
        <f aca="false">IF((E32/$C23)&lt;1," - ",ROUND(10*E32/$C23/60,0)/10&amp;" min")</f>
        <v>11,6 min</v>
      </c>
      <c r="F33" s="83" t="str">
        <f aca="false">IF((F32/$C23)&lt;1," - ",ROUND(10*F32/$C23/60,0)/10&amp;" min")</f>
        <v> - </v>
      </c>
      <c r="G33" s="83" t="str">
        <f aca="false">IF((G32/$C23)&lt;1," - ",ROUND(10*G32/$C23/60,0)/10&amp;" min")</f>
        <v> - 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"/>
      <c r="S33" s="80" t="n">
        <f aca="false">T18</f>
        <v>3700</v>
      </c>
      <c r="T33" s="75" t="n">
        <f aca="false">IF(T22&lt;T21,T21,T27)</f>
        <v>79.5597126620322</v>
      </c>
      <c r="U33" s="80" t="n">
        <f aca="false">V18</f>
        <v>3700</v>
      </c>
      <c r="V33" s="75" t="n">
        <f aca="false">IF(V22&lt;V21,V21,V27)</f>
        <v>96.0162681059953</v>
      </c>
      <c r="W33" s="80" t="str">
        <f aca="false">X18</f>
        <v>-</v>
      </c>
      <c r="X33" s="62" t="n">
        <f aca="false">IF(X22&lt;X21,X21,X27)</f>
        <v>0</v>
      </c>
      <c r="Y33" s="80" t="str">
        <f aca="false">Z18</f>
        <v>-</v>
      </c>
      <c r="Z33" s="62" t="n">
        <f aca="false">IF(Z22&lt;Z21,Z21,Z27)</f>
        <v>0</v>
      </c>
    </row>
    <row r="34" customFormat="false" ht="14.15" hidden="false" customHeight="true" outlineLevel="0" collapsed="false">
      <c r="B34" s="34" t="s">
        <v>89</v>
      </c>
      <c r="C34" s="34"/>
      <c r="D34" s="76" t="str">
        <f aca="false">T23</f>
        <v>L → T</v>
      </c>
      <c r="E34" s="76" t="str">
        <f aca="false">V23</f>
        <v>L → T</v>
      </c>
      <c r="F34" s="76" t="str">
        <f aca="false">X23</f>
        <v> - </v>
      </c>
      <c r="G34" s="76" t="str">
        <f aca="false">Z23</f>
        <v> - 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"/>
      <c r="S34" s="84"/>
      <c r="T34" s="75" t="n">
        <f aca="false">VLOOKUP(T16,S31:T33,2)</f>
        <v>71.726952028791</v>
      </c>
      <c r="U34" s="75"/>
      <c r="V34" s="75" t="n">
        <f aca="false">VLOOKUP(V16,U31:V33,2)</f>
        <v>86.892769263525</v>
      </c>
      <c r="X34" s="62" t="n">
        <f aca="false">VLOOKUP(X16,W31:X33,2)</f>
        <v>0</v>
      </c>
      <c r="Y34" s="68"/>
      <c r="Z34" s="62" t="n">
        <f aca="false">VLOOKUP(Z16,Y31:Z33,2)</f>
        <v>0</v>
      </c>
    </row>
    <row r="35" customFormat="false" ht="14.15" hidden="false" customHeight="true" outlineLevel="0" collapsed="false">
      <c r="B35" s="1" t="s">
        <v>90</v>
      </c>
      <c r="C35" s="2" t="s">
        <v>91</v>
      </c>
      <c r="D35" s="85" t="n">
        <f aca="false">IF(D24&lt;1," - ",1000*D36/D24)</f>
        <v>195.975278767188</v>
      </c>
      <c r="E35" s="86" t="n">
        <f aca="false">IF(E24&lt;1," - ",1000*E36/E24)</f>
        <v>202.076207589593</v>
      </c>
      <c r="F35" s="86" t="str">
        <f aca="false">IF(F24&lt;1," - ",1000*F36/F24)</f>
        <v> - </v>
      </c>
      <c r="G35" s="86" t="str">
        <f aca="false">IF(G24&lt;1," - ",1000*G36/G24)</f>
        <v> - 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S35" s="87"/>
    </row>
    <row r="36" customFormat="false" ht="14.15" hidden="false" customHeight="true" outlineLevel="0" collapsed="false">
      <c r="B36" s="1" t="s">
        <v>92</v>
      </c>
      <c r="C36" s="2" t="s">
        <v>58</v>
      </c>
      <c r="D36" s="88" t="n">
        <f aca="false">IF(D24&lt;1," - ",T28)</f>
        <v>71.726952028791</v>
      </c>
      <c r="E36" s="88" t="n">
        <f aca="false">IF(E24&lt;1," - ",V28)</f>
        <v>86.892769263525</v>
      </c>
      <c r="F36" s="88" t="str">
        <f aca="false">IF(F24&lt;1," - ",X28)</f>
        <v> - </v>
      </c>
      <c r="G36" s="88" t="str">
        <f aca="false">IF(G24&lt;1," - ",Z28)</f>
        <v> - 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"/>
      <c r="S36" s="84"/>
      <c r="T36" s="68"/>
      <c r="U36" s="68"/>
      <c r="V36" s="1"/>
      <c r="W36" s="1"/>
      <c r="X36" s="1"/>
      <c r="Y36" s="1"/>
      <c r="Z36" s="1"/>
      <c r="AA36" s="11"/>
    </row>
    <row r="37" customFormat="false" ht="14.15" hidden="false" customHeight="true" outlineLevel="0" collapsed="false">
      <c r="B37" s="34" t="s">
        <v>93</v>
      </c>
      <c r="C37" s="34"/>
      <c r="D37" s="89" t="n">
        <f aca="false">SUM(D24:G24)</f>
        <v>796</v>
      </c>
      <c r="E37" s="89"/>
      <c r="F37" s="89"/>
      <c r="G37" s="8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" t="s">
        <v>94</v>
      </c>
      <c r="S37" s="75" t="n">
        <v>1</v>
      </c>
      <c r="T37" s="1"/>
      <c r="U37" s="1"/>
      <c r="V37" s="1"/>
      <c r="W37" s="1"/>
      <c r="X37" s="1"/>
      <c r="Y37" s="1"/>
      <c r="Z37" s="1"/>
      <c r="AA37" s="11"/>
      <c r="AC37" s="11"/>
      <c r="AD37" s="11"/>
      <c r="AE37" s="11"/>
      <c r="AF37" s="11"/>
      <c r="AG37" s="11"/>
      <c r="AH37" s="11"/>
    </row>
    <row r="38" customFormat="false" ht="14.15" hidden="false" customHeight="true" outlineLevel="0" collapsed="false">
      <c r="B38" s="34" t="s">
        <v>95</v>
      </c>
      <c r="C38" s="34"/>
      <c r="D38" s="90" t="n">
        <f aca="false">SUM(D32:G32)</f>
        <v>778.67810821586</v>
      </c>
      <c r="E38" s="90"/>
      <c r="F38" s="90"/>
      <c r="G38" s="90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"/>
      <c r="S38" s="1"/>
      <c r="T38" s="1"/>
      <c r="U38" s="1"/>
      <c r="V38" s="1"/>
      <c r="W38" s="1"/>
      <c r="X38" s="1"/>
      <c r="Y38" s="1"/>
      <c r="Z38" s="1"/>
      <c r="AA38" s="11"/>
      <c r="AC38" s="11"/>
      <c r="AD38" s="11"/>
      <c r="AE38" s="11"/>
      <c r="AF38" s="11"/>
      <c r="AG38" s="11"/>
      <c r="AH38" s="11"/>
    </row>
    <row r="39" customFormat="false" ht="14.15" hidden="false" customHeight="true" outlineLevel="0" collapsed="false">
      <c r="B39" s="1" t="s">
        <v>96</v>
      </c>
      <c r="C39" s="82" t="n">
        <f aca="false">C23</f>
        <v>0.6</v>
      </c>
      <c r="D39" s="91" t="str">
        <f aca="false">ROUND(D38/$C23,0)&amp;" s = "&amp;ROUND(10*D38/$C23/60,0)/10&amp;" minuuttia"</f>
        <v>1298 s = 21,6 minuuttia</v>
      </c>
      <c r="E39" s="91"/>
      <c r="F39" s="91"/>
      <c r="G39" s="9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"/>
      <c r="S39" s="1"/>
      <c r="T39" s="1"/>
      <c r="U39" s="1"/>
      <c r="V39" s="1"/>
      <c r="W39" s="1"/>
      <c r="X39" s="1"/>
      <c r="Y39" s="1"/>
      <c r="Z39" s="1"/>
      <c r="AA39" s="11"/>
      <c r="AC39" s="11"/>
      <c r="AD39" s="11"/>
      <c r="AE39" s="11"/>
      <c r="AF39" s="11"/>
      <c r="AG39" s="11"/>
      <c r="AH39" s="11"/>
    </row>
    <row r="40" customFormat="false" ht="14.15" hidden="false" customHeight="true" outlineLevel="0" collapsed="false">
      <c r="B40" s="1" t="s">
        <v>97</v>
      </c>
      <c r="D40" s="92" t="n">
        <f aca="false">SUM(D36:G36)</f>
        <v>158.619721292316</v>
      </c>
      <c r="E40" s="92"/>
      <c r="F40" s="92"/>
      <c r="G40" s="9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0" t="s">
        <v>98</v>
      </c>
      <c r="S40" s="93" t="s">
        <v>99</v>
      </c>
      <c r="T40" s="93" t="s">
        <v>100</v>
      </c>
      <c r="U40" s="93" t="s">
        <v>26</v>
      </c>
      <c r="V40" s="93" t="s">
        <v>50</v>
      </c>
      <c r="W40" s="20" t="s">
        <v>53</v>
      </c>
      <c r="X40" s="1"/>
      <c r="Y40" s="1"/>
      <c r="Z40" s="1"/>
      <c r="AA40" s="11"/>
      <c r="AC40" s="11"/>
      <c r="AD40" s="11"/>
      <c r="AE40" s="11"/>
      <c r="AF40" s="11"/>
      <c r="AG40" s="11"/>
      <c r="AH40" s="11"/>
    </row>
    <row r="41" customFormat="false" ht="14.15" hidden="false" customHeight="true" outlineLevel="0" collapsed="false">
      <c r="B41" s="1" t="s">
        <v>101</v>
      </c>
      <c r="D41" s="94" t="n">
        <f aca="false">D40/100</f>
        <v>1.58619721292316</v>
      </c>
      <c r="E41" s="94"/>
      <c r="F41" s="94"/>
      <c r="G41" s="94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68" t="s">
        <v>102</v>
      </c>
      <c r="S41" s="87" t="n">
        <v>32</v>
      </c>
      <c r="T41" s="38" t="n">
        <v>2</v>
      </c>
      <c r="U41" s="38" t="n">
        <f aca="false">S41-2*T41</f>
        <v>28</v>
      </c>
      <c r="V41" s="87" t="n">
        <v>1100</v>
      </c>
      <c r="W41" s="87" t="n">
        <v>3700</v>
      </c>
      <c r="X41" s="1"/>
      <c r="Y41" s="1"/>
      <c r="Z41" s="1"/>
      <c r="AA41" s="11"/>
      <c r="AC41" s="11"/>
      <c r="AD41" s="11"/>
      <c r="AE41" s="11"/>
      <c r="AF41" s="11"/>
      <c r="AG41" s="11"/>
      <c r="AH41" s="11"/>
    </row>
    <row r="42" customFormat="false" ht="14.15" hidden="false" customHeight="true" outlineLevel="0" collapsed="false">
      <c r="C42" s="1"/>
      <c r="D42" s="95" t="str">
        <f aca="false">LEFT(D26,1)</f>
        <v>O</v>
      </c>
      <c r="E42" s="95" t="str">
        <f aca="false">LEFT(E26,1)</f>
        <v>4</v>
      </c>
      <c r="F42" s="95" t="str">
        <f aca="false">LEFT(F26,1)</f>
        <v>4</v>
      </c>
      <c r="G42" s="95" t="str">
        <f aca="false">LEFT(G26,1)</f>
        <v>O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68" t="s">
        <v>103</v>
      </c>
      <c r="S42" s="84" t="n">
        <v>32</v>
      </c>
      <c r="T42" s="38" t="n">
        <v>3</v>
      </c>
      <c r="U42" s="38" t="n">
        <f aca="false">S42-2*T42</f>
        <v>26</v>
      </c>
      <c r="V42" s="87" t="n">
        <v>1100</v>
      </c>
      <c r="W42" s="87" t="n">
        <v>3700</v>
      </c>
      <c r="X42" s="1"/>
      <c r="Y42" s="1"/>
      <c r="Z42" s="1"/>
      <c r="AA42" s="11"/>
      <c r="AC42" s="11"/>
      <c r="AD42" s="11"/>
      <c r="AE42" s="11"/>
      <c r="AF42" s="11"/>
      <c r="AG42" s="11"/>
      <c r="AH42" s="11"/>
    </row>
    <row r="43" customFormat="false" ht="14.15" hidden="false" customHeight="true" outlineLevel="0" collapsed="false">
      <c r="B43" s="96" t="s">
        <v>104</v>
      </c>
      <c r="C43" s="96"/>
      <c r="D43" s="21" t="s">
        <v>99</v>
      </c>
      <c r="E43" s="97" t="s">
        <v>100</v>
      </c>
      <c r="F43" s="98" t="s">
        <v>26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68" t="s">
        <v>75</v>
      </c>
      <c r="S43" s="87" t="n">
        <v>40</v>
      </c>
      <c r="T43" s="38" t="n">
        <v>2.4</v>
      </c>
      <c r="U43" s="38" t="n">
        <f aca="false">S43-2*T43</f>
        <v>35.2</v>
      </c>
      <c r="V43" s="87" t="n">
        <v>1100</v>
      </c>
      <c r="W43" s="87" t="n">
        <v>3700</v>
      </c>
      <c r="X43" s="1"/>
      <c r="Y43" s="1"/>
      <c r="Z43" s="1"/>
      <c r="AA43" s="11"/>
      <c r="AC43" s="11"/>
      <c r="AD43" s="11"/>
      <c r="AE43" s="11"/>
      <c r="AF43" s="11"/>
      <c r="AG43" s="11"/>
      <c r="AH43" s="11"/>
    </row>
    <row r="44" customFormat="false" ht="12.85" hidden="false" customHeight="true" outlineLevel="0" collapsed="false">
      <c r="B44" s="96"/>
      <c r="C44" s="96" t="s">
        <v>74</v>
      </c>
      <c r="D44" s="99" t="n">
        <v>40</v>
      </c>
      <c r="E44" s="100" t="n">
        <v>2.3</v>
      </c>
      <c r="F44" s="101" t="n">
        <f aca="false">D44-(2*E44)</f>
        <v>35.4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68" t="s">
        <v>105</v>
      </c>
      <c r="S44" s="87" t="n">
        <v>40</v>
      </c>
      <c r="T44" s="38" t="n">
        <v>2.5</v>
      </c>
      <c r="U44" s="38" t="n">
        <f aca="false">S44-2*T44</f>
        <v>35</v>
      </c>
      <c r="V44" s="87" t="n">
        <v>1100</v>
      </c>
      <c r="W44" s="87" t="n">
        <v>3700</v>
      </c>
      <c r="X44" s="1"/>
      <c r="Y44" s="1"/>
      <c r="Z44" s="1"/>
      <c r="AA44" s="11"/>
      <c r="AC44" s="11"/>
      <c r="AD44" s="11"/>
      <c r="AE44" s="11"/>
      <c r="AF44" s="11"/>
      <c r="AG44" s="11"/>
      <c r="AH44" s="11"/>
    </row>
    <row r="45" customFormat="false" ht="12.85" hidden="false" customHeight="true" outlineLevel="0" collapsed="false">
      <c r="B45" s="96"/>
      <c r="C45" s="96" t="s">
        <v>106</v>
      </c>
      <c r="D45" s="99" t="n">
        <v>35</v>
      </c>
      <c r="E45" s="100" t="n">
        <v>1.5</v>
      </c>
      <c r="F45" s="101" t="n">
        <f aca="false">D45-(2*E45)</f>
        <v>32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68" t="s">
        <v>107</v>
      </c>
      <c r="S45" s="84" t="n">
        <v>40</v>
      </c>
      <c r="T45" s="74" t="n">
        <v>3.7</v>
      </c>
      <c r="U45" s="38" t="n">
        <f aca="false">S45-2*T45</f>
        <v>32.6</v>
      </c>
      <c r="V45" s="87" t="n">
        <v>1100</v>
      </c>
      <c r="W45" s="87" t="n">
        <v>3700</v>
      </c>
      <c r="X45" s="1"/>
      <c r="Y45" s="1"/>
      <c r="Z45" s="1"/>
      <c r="AA45" s="11"/>
      <c r="AC45" s="11"/>
      <c r="AD45" s="11"/>
      <c r="AE45" s="11"/>
      <c r="AF45" s="11"/>
      <c r="AG45" s="11"/>
      <c r="AH45" s="11"/>
    </row>
    <row r="46" customFormat="false" ht="12.85" hidden="false" customHeight="true" outlineLevel="0" collapsed="false">
      <c r="B46" s="96"/>
      <c r="C46" s="96" t="s">
        <v>108</v>
      </c>
      <c r="D46" s="99" t="n">
        <v>50</v>
      </c>
      <c r="E46" s="100" t="n">
        <v>1.2</v>
      </c>
      <c r="F46" s="101" t="n">
        <f aca="false">D46-(2*E46)</f>
        <v>47.6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68" t="s">
        <v>109</v>
      </c>
      <c r="S46" s="84" t="n">
        <v>45</v>
      </c>
      <c r="T46" s="38" t="n">
        <v>2.4</v>
      </c>
      <c r="U46" s="38" t="n">
        <f aca="false">S46-2*T46</f>
        <v>40.2</v>
      </c>
      <c r="V46" s="87" t="n">
        <v>1100</v>
      </c>
      <c r="W46" s="87" t="n">
        <v>3700</v>
      </c>
      <c r="X46" s="1"/>
      <c r="Y46" s="1"/>
      <c r="Z46" s="1"/>
      <c r="AC46" s="11"/>
      <c r="AD46" s="11"/>
      <c r="AE46" s="11"/>
      <c r="AF46" s="11"/>
      <c r="AG46" s="11"/>
      <c r="AH46" s="11"/>
    </row>
    <row r="47" customFormat="false" ht="12.85" hidden="false" customHeight="true" outlineLevel="0" collapsed="false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68" t="s">
        <v>110</v>
      </c>
      <c r="S47" s="84" t="n">
        <v>45</v>
      </c>
      <c r="T47" s="38" t="n">
        <v>2.65</v>
      </c>
      <c r="U47" s="38" t="n">
        <f aca="false">S47-2*T47</f>
        <v>39.7</v>
      </c>
      <c r="V47" s="87" t="n">
        <v>1100</v>
      </c>
      <c r="W47" s="87" t="n">
        <v>3700</v>
      </c>
      <c r="X47" s="1"/>
      <c r="Y47" s="1"/>
      <c r="Z47" s="1"/>
      <c r="AC47" s="11"/>
      <c r="AD47" s="11"/>
      <c r="AE47" s="11"/>
      <c r="AF47" s="11"/>
      <c r="AG47" s="11"/>
      <c r="AH47" s="11"/>
    </row>
    <row r="48" customFormat="false" ht="12.85" hidden="false" customHeight="true" outlineLevel="0" collapsed="false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68" t="s">
        <v>111</v>
      </c>
      <c r="S48" s="84" t="n">
        <v>45</v>
      </c>
      <c r="T48" s="38" t="n">
        <v>3</v>
      </c>
      <c r="U48" s="38" t="n">
        <f aca="false">S48-2*T48</f>
        <v>39</v>
      </c>
      <c r="V48" s="87" t="n">
        <v>1100</v>
      </c>
      <c r="W48" s="87" t="n">
        <v>3700</v>
      </c>
      <c r="X48" s="1"/>
      <c r="Y48" s="1"/>
      <c r="Z48" s="1"/>
      <c r="AC48" s="11"/>
      <c r="AD48" s="11"/>
      <c r="AE48" s="11"/>
      <c r="AF48" s="11"/>
      <c r="AG48" s="11"/>
      <c r="AH48" s="11"/>
    </row>
    <row r="49" customFormat="false" ht="12.85" hidden="false" customHeight="true" outlineLevel="0" collapsed="false"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68" t="s">
        <v>112</v>
      </c>
      <c r="S49" s="84" t="n">
        <v>50</v>
      </c>
      <c r="T49" s="38" t="n">
        <v>2.4</v>
      </c>
      <c r="U49" s="38" t="n">
        <f aca="false">S49-2*T49</f>
        <v>45.2</v>
      </c>
      <c r="V49" s="87" t="n">
        <v>1100</v>
      </c>
      <c r="W49" s="87" t="n">
        <v>3700</v>
      </c>
      <c r="X49" s="1"/>
      <c r="Y49" s="1"/>
      <c r="Z49" s="1"/>
      <c r="AC49" s="11"/>
      <c r="AD49" s="11"/>
      <c r="AE49" s="11"/>
      <c r="AF49" s="11"/>
      <c r="AG49" s="11"/>
      <c r="AH49" s="11"/>
    </row>
    <row r="50" customFormat="false" ht="12.85" hidden="false" customHeight="true" outlineLevel="0" collapsed="false">
      <c r="B50" s="0"/>
      <c r="C50" s="0"/>
      <c r="D50" s="0"/>
      <c r="E50" s="0"/>
      <c r="F50" s="0"/>
      <c r="G50" s="0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68" t="s">
        <v>113</v>
      </c>
      <c r="S50" s="87" t="n">
        <v>50</v>
      </c>
      <c r="T50" s="38" t="n">
        <v>3</v>
      </c>
      <c r="U50" s="38" t="n">
        <f aca="false">S50-2*T50</f>
        <v>44</v>
      </c>
      <c r="V50" s="87" t="n">
        <v>1100</v>
      </c>
      <c r="W50" s="87" t="n">
        <v>3700</v>
      </c>
      <c r="X50" s="1"/>
      <c r="Y50" s="1"/>
      <c r="Z50" s="1"/>
      <c r="AC50" s="11"/>
      <c r="AD50" s="11"/>
      <c r="AE50" s="11"/>
      <c r="AF50" s="11"/>
      <c r="AG50" s="11"/>
      <c r="AH50" s="11"/>
    </row>
    <row r="51" customFormat="false" ht="12.85" hidden="false" customHeight="true" outlineLevel="0" collapsed="false"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68" t="s">
        <v>114</v>
      </c>
      <c r="S51" s="84" t="n">
        <v>50</v>
      </c>
      <c r="T51" s="74" t="n">
        <v>4.6</v>
      </c>
      <c r="U51" s="38" t="n">
        <f aca="false">S51-2*T51</f>
        <v>40.8</v>
      </c>
      <c r="V51" s="87" t="n">
        <v>1100</v>
      </c>
      <c r="W51" s="87" t="n">
        <v>3700</v>
      </c>
      <c r="X51" s="1"/>
      <c r="Y51" s="1"/>
      <c r="Z51" s="1"/>
      <c r="AA51" s="11"/>
      <c r="AC51" s="11"/>
      <c r="AD51" s="11"/>
      <c r="AE51" s="11"/>
      <c r="AF51" s="11"/>
      <c r="AG51" s="11"/>
      <c r="AH51" s="11"/>
    </row>
    <row r="52" customFormat="false" ht="12.85" hidden="false" customHeight="true" outlineLevel="0" collapsed="false"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68" t="s">
        <v>115</v>
      </c>
      <c r="S52" s="84" t="n">
        <v>63</v>
      </c>
      <c r="T52" s="74" t="n">
        <v>3</v>
      </c>
      <c r="U52" s="38" t="n">
        <f aca="false">S52-2*T52</f>
        <v>57</v>
      </c>
      <c r="V52" s="87" t="n">
        <v>1100</v>
      </c>
      <c r="W52" s="87" t="n">
        <v>3700</v>
      </c>
      <c r="X52" s="1"/>
      <c r="Y52" s="1"/>
      <c r="Z52" s="1"/>
      <c r="AA52" s="11"/>
      <c r="AC52" s="11"/>
      <c r="AD52" s="11"/>
      <c r="AE52" s="11"/>
      <c r="AF52" s="11"/>
      <c r="AG52" s="11"/>
      <c r="AH52" s="11"/>
    </row>
    <row r="53" customFormat="false" ht="12.85" hidden="false" customHeight="true" outlineLevel="0" collapsed="false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68" t="s">
        <v>116</v>
      </c>
      <c r="S53" s="84" t="n">
        <v>63</v>
      </c>
      <c r="T53" s="38" t="n">
        <v>5.8</v>
      </c>
      <c r="U53" s="38" t="n">
        <f aca="false">S53-2*T53</f>
        <v>51.4</v>
      </c>
      <c r="V53" s="87" t="n">
        <v>1100</v>
      </c>
      <c r="W53" s="87" t="n">
        <v>3700</v>
      </c>
      <c r="X53" s="1"/>
      <c r="Y53" s="1"/>
      <c r="Z53" s="1"/>
      <c r="AA53" s="11"/>
      <c r="AC53" s="11"/>
      <c r="AD53" s="11"/>
      <c r="AE53" s="11"/>
      <c r="AF53" s="11"/>
      <c r="AG53" s="11"/>
      <c r="AH53" s="11"/>
    </row>
    <row r="54" customFormat="false" ht="12.85" hidden="false" customHeight="true" outlineLevel="0" collapsed="false">
      <c r="G54" s="102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68" t="s">
        <v>117</v>
      </c>
      <c r="S54" s="2" t="n">
        <v>50</v>
      </c>
      <c r="T54" s="38" t="n">
        <v>2.5</v>
      </c>
      <c r="U54" s="38" t="n">
        <f aca="false">S54-2*T54</f>
        <v>45</v>
      </c>
      <c r="V54" s="87" t="n">
        <v>1100</v>
      </c>
      <c r="W54" s="87" t="n">
        <v>3700</v>
      </c>
      <c r="X54" s="1"/>
      <c r="Y54" s="1"/>
      <c r="Z54" s="1"/>
      <c r="AA54" s="11"/>
      <c r="AC54" s="11"/>
      <c r="AD54" s="11"/>
      <c r="AE54" s="11"/>
      <c r="AF54" s="11"/>
      <c r="AG54" s="11"/>
      <c r="AH54" s="11"/>
    </row>
    <row r="55" customFormat="false" ht="12.85" hidden="false" customHeight="true" outlineLevel="0" collapsed="false"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68" t="str">
        <f aca="false">C44</f>
        <v>Oma-1</v>
      </c>
      <c r="S55" s="87" t="n">
        <f aca="false">D44</f>
        <v>40</v>
      </c>
      <c r="T55" s="38" t="n">
        <f aca="false">E44</f>
        <v>2.3</v>
      </c>
      <c r="U55" s="38" t="n">
        <f aca="false">S55-2*T55</f>
        <v>35.4</v>
      </c>
      <c r="V55" s="87" t="n">
        <v>1100</v>
      </c>
      <c r="W55" s="87" t="n">
        <v>3700</v>
      </c>
      <c r="X55" s="1"/>
      <c r="Y55" s="1"/>
      <c r="Z55" s="1"/>
      <c r="AA55" s="11"/>
      <c r="AC55" s="11"/>
      <c r="AD55" s="11"/>
      <c r="AE55" s="11"/>
      <c r="AF55" s="11"/>
      <c r="AG55" s="11"/>
      <c r="AH55" s="11"/>
    </row>
    <row r="56" customFormat="false" ht="12.85" hidden="false" customHeight="true" outlineLevel="0" collapsed="false"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68" t="str">
        <f aca="false">C45</f>
        <v>Oma-2</v>
      </c>
      <c r="S56" s="87" t="n">
        <f aca="false">D45</f>
        <v>35</v>
      </c>
      <c r="T56" s="38" t="n">
        <f aca="false">E45</f>
        <v>1.5</v>
      </c>
      <c r="U56" s="38" t="n">
        <f aca="false">S56-2*T56</f>
        <v>32</v>
      </c>
      <c r="V56" s="87" t="n">
        <v>1100</v>
      </c>
      <c r="W56" s="87" t="n">
        <v>3700</v>
      </c>
      <c r="X56" s="1"/>
      <c r="Y56" s="1"/>
      <c r="Z56" s="1"/>
      <c r="AA56" s="11"/>
      <c r="AC56" s="11"/>
      <c r="AD56" s="11"/>
      <c r="AE56" s="11"/>
      <c r="AF56" s="11"/>
      <c r="AG56" s="11"/>
      <c r="AH56" s="11"/>
    </row>
    <row r="57" customFormat="false" ht="12.85" hidden="false" customHeight="true" outlineLevel="0" collapsed="false"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68" t="str">
        <f aca="false">C46</f>
        <v>Oma-3</v>
      </c>
      <c r="S57" s="87" t="n">
        <f aca="false">D46</f>
        <v>50</v>
      </c>
      <c r="T57" s="38" t="n">
        <f aca="false">E46</f>
        <v>1.2</v>
      </c>
      <c r="U57" s="38" t="n">
        <f aca="false">S57-2*T57</f>
        <v>47.6</v>
      </c>
      <c r="V57" s="87" t="n">
        <v>1100</v>
      </c>
      <c r="W57" s="87" t="n">
        <v>3700</v>
      </c>
      <c r="X57" s="1"/>
      <c r="Y57" s="1"/>
      <c r="Z57" s="1"/>
      <c r="AA57" s="11"/>
      <c r="AC57" s="11"/>
      <c r="AD57" s="11"/>
      <c r="AE57" s="11"/>
      <c r="AF57" s="11"/>
      <c r="AG57" s="11"/>
      <c r="AH57" s="11"/>
    </row>
    <row r="58" customFormat="false" ht="12.85" hidden="false" customHeight="true" outlineLevel="0" collapsed="false"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68" t="s">
        <v>118</v>
      </c>
      <c r="S58" s="84" t="n">
        <v>50</v>
      </c>
      <c r="T58" s="38" t="n">
        <v>5</v>
      </c>
      <c r="U58" s="38" t="n">
        <v>39.2</v>
      </c>
      <c r="V58" s="87" t="n">
        <v>1000</v>
      </c>
      <c r="W58" s="87" t="n">
        <v>2800</v>
      </c>
      <c r="X58" s="1"/>
      <c r="Y58" s="1"/>
      <c r="Z58" s="1"/>
      <c r="AA58" s="11"/>
      <c r="AC58" s="11"/>
      <c r="AD58" s="11"/>
      <c r="AE58" s="11"/>
      <c r="AF58" s="11"/>
      <c r="AG58" s="11"/>
      <c r="AH58" s="11"/>
    </row>
    <row r="59" customFormat="false" ht="12.85" hidden="false" customHeight="true" outlineLevel="0" collapsed="false"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68" t="s">
        <v>119</v>
      </c>
      <c r="S59" s="87" t="n">
        <v>32</v>
      </c>
      <c r="T59" s="38" t="n">
        <v>2</v>
      </c>
      <c r="U59" s="38" t="n">
        <f aca="false">S59-2*T59</f>
        <v>28</v>
      </c>
      <c r="V59" s="87" t="n">
        <v>1000</v>
      </c>
      <c r="W59" s="87" t="n">
        <v>3700</v>
      </c>
      <c r="X59" s="1"/>
      <c r="Y59" s="1"/>
      <c r="Z59" s="1"/>
      <c r="AA59" s="11"/>
      <c r="AC59" s="11"/>
      <c r="AD59" s="11"/>
      <c r="AE59" s="11"/>
      <c r="AF59" s="11"/>
      <c r="AG59" s="11"/>
      <c r="AH59" s="11"/>
    </row>
    <row r="60" customFormat="false" ht="12.85" hidden="false" customHeight="true" outlineLevel="0" collapsed="false"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68" t="s">
        <v>120</v>
      </c>
      <c r="S60" s="84" t="n">
        <v>32</v>
      </c>
      <c r="T60" s="38" t="n">
        <v>3</v>
      </c>
      <c r="U60" s="38" t="n">
        <f aca="false">S60-2*T60</f>
        <v>26</v>
      </c>
      <c r="V60" s="87" t="n">
        <v>1000</v>
      </c>
      <c r="W60" s="87" t="n">
        <v>3700</v>
      </c>
      <c r="X60" s="1"/>
      <c r="Y60" s="1"/>
      <c r="Z60" s="1"/>
      <c r="AA60" s="11"/>
      <c r="AC60" s="11"/>
      <c r="AD60" s="11"/>
      <c r="AE60" s="11"/>
      <c r="AF60" s="11"/>
      <c r="AG60" s="11"/>
      <c r="AH60" s="11"/>
    </row>
    <row r="61" customFormat="false" ht="12.85" hidden="false" customHeight="true" outlineLevel="0" collapsed="false"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68" t="s">
        <v>121</v>
      </c>
      <c r="S61" s="87" t="n">
        <v>40</v>
      </c>
      <c r="T61" s="38" t="n">
        <v>2.4</v>
      </c>
      <c r="U61" s="38" t="n">
        <f aca="false">S61-2*T61</f>
        <v>35.2</v>
      </c>
      <c r="V61" s="87" t="n">
        <v>1000</v>
      </c>
      <c r="W61" s="87" t="n">
        <v>3700</v>
      </c>
      <c r="X61" s="1"/>
      <c r="Y61" s="1"/>
      <c r="Z61" s="1"/>
      <c r="AA61" s="11"/>
      <c r="AC61" s="11"/>
      <c r="AD61" s="11"/>
      <c r="AE61" s="11"/>
      <c r="AF61" s="11"/>
      <c r="AG61" s="11"/>
      <c r="AH61" s="11"/>
    </row>
    <row r="62" customFormat="false" ht="12.85" hidden="false" customHeight="true" outlineLevel="0" collapsed="false"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68" t="s">
        <v>122</v>
      </c>
      <c r="S62" s="87" t="n">
        <v>45</v>
      </c>
      <c r="T62" s="38" t="n">
        <v>3</v>
      </c>
      <c r="U62" s="38" t="n">
        <f aca="false">S62-2*T62</f>
        <v>39</v>
      </c>
      <c r="V62" s="87" t="n">
        <v>1000</v>
      </c>
      <c r="W62" s="87" t="n">
        <v>3700</v>
      </c>
      <c r="X62" s="1"/>
      <c r="Y62" s="1"/>
      <c r="Z62" s="1"/>
      <c r="AA62" s="11"/>
      <c r="AC62" s="11"/>
      <c r="AD62" s="11"/>
      <c r="AE62" s="11"/>
      <c r="AF62" s="11"/>
      <c r="AG62" s="11"/>
      <c r="AH62" s="11"/>
    </row>
    <row r="63" customFormat="false" ht="12.85" hidden="false" customHeight="true" outlineLevel="0" collapsed="false"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68" t="s">
        <v>123</v>
      </c>
      <c r="S63" s="87" t="n">
        <v>40</v>
      </c>
      <c r="T63" s="38" t="n">
        <v>3.7</v>
      </c>
      <c r="U63" s="38" t="n">
        <f aca="false">S63-2*T63</f>
        <v>32.6</v>
      </c>
      <c r="V63" s="87" t="n">
        <v>1000</v>
      </c>
      <c r="W63" s="87" t="n">
        <v>3700</v>
      </c>
      <c r="X63" s="1"/>
      <c r="Y63" s="1"/>
      <c r="Z63" s="1"/>
      <c r="AA63" s="11"/>
      <c r="AC63" s="11"/>
      <c r="AD63" s="11"/>
      <c r="AE63" s="11"/>
      <c r="AF63" s="11"/>
      <c r="AG63" s="11"/>
      <c r="AH63" s="11"/>
    </row>
    <row r="64" customFormat="false" ht="12.85" hidden="false" customHeight="true" outlineLevel="0" collapsed="false"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68" t="s">
        <v>124</v>
      </c>
      <c r="S64" s="84" t="n">
        <v>50</v>
      </c>
      <c r="T64" s="74" t="n">
        <v>3</v>
      </c>
      <c r="U64" s="38" t="n">
        <f aca="false">S64-2*T64</f>
        <v>44</v>
      </c>
      <c r="V64" s="87" t="n">
        <v>1000</v>
      </c>
      <c r="W64" s="87" t="n">
        <v>3700</v>
      </c>
      <c r="X64" s="1"/>
      <c r="Y64" s="1"/>
      <c r="Z64" s="1"/>
      <c r="AA64" s="11"/>
      <c r="AC64" s="11"/>
      <c r="AD64" s="11"/>
      <c r="AE64" s="11"/>
      <c r="AF64" s="11"/>
      <c r="AG64" s="11"/>
      <c r="AH64" s="11"/>
    </row>
    <row r="65" customFormat="false" ht="12.85" hidden="false" customHeight="true" outlineLevel="0" collapsed="false"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68" t="s">
        <v>118</v>
      </c>
      <c r="S65" s="84" t="n">
        <v>50</v>
      </c>
      <c r="T65" s="38" t="n">
        <v>4.6</v>
      </c>
      <c r="U65" s="38" t="n">
        <f aca="false">S65-2*T65</f>
        <v>40.8</v>
      </c>
      <c r="V65" s="87" t="n">
        <v>1000</v>
      </c>
      <c r="W65" s="87" t="n">
        <v>3700</v>
      </c>
      <c r="X65" s="1"/>
      <c r="Y65" s="1"/>
      <c r="Z65" s="1"/>
      <c r="AA65" s="11"/>
      <c r="AC65" s="11"/>
      <c r="AD65" s="11"/>
      <c r="AE65" s="11"/>
      <c r="AF65" s="11"/>
      <c r="AG65" s="11"/>
      <c r="AH65" s="11"/>
    </row>
    <row r="66" customFormat="false" ht="12.85" hidden="false" customHeight="true" outlineLevel="0" collapsed="false"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"/>
      <c r="S66" s="1"/>
      <c r="T66" s="1"/>
      <c r="U66" s="1"/>
      <c r="V66" s="1"/>
      <c r="W66" s="1"/>
      <c r="X66" s="1"/>
      <c r="Y66" s="1"/>
      <c r="Z66" s="1"/>
      <c r="AA66" s="11"/>
      <c r="AC66" s="11"/>
      <c r="AD66" s="11"/>
      <c r="AE66" s="11"/>
      <c r="AF66" s="11"/>
      <c r="AG66" s="11"/>
      <c r="AH66" s="11"/>
    </row>
    <row r="67" customFormat="false" ht="12.85" hidden="false" customHeight="true" outlineLevel="0" collapsed="false"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"/>
      <c r="S67" s="1"/>
      <c r="T67" s="1"/>
      <c r="U67" s="1"/>
      <c r="V67" s="1"/>
      <c r="W67" s="1"/>
      <c r="X67" s="1"/>
      <c r="Y67" s="1"/>
      <c r="Z67" s="1"/>
      <c r="AA67" s="11"/>
      <c r="AC67" s="11"/>
      <c r="AD67" s="11"/>
      <c r="AE67" s="11"/>
      <c r="AF67" s="11"/>
      <c r="AG67" s="11"/>
      <c r="AH67" s="11"/>
    </row>
    <row r="68" customFormat="false" ht="12.85" hidden="false" customHeight="true" outlineLevel="0" collapsed="false"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"/>
      <c r="S68" s="1"/>
      <c r="T68" s="1"/>
      <c r="U68" s="1"/>
      <c r="V68" s="1"/>
      <c r="W68" s="1"/>
      <c r="X68" s="1"/>
      <c r="Y68" s="1"/>
      <c r="Z68" s="1"/>
      <c r="AA68" s="11"/>
      <c r="AC68" s="11"/>
      <c r="AD68" s="11"/>
      <c r="AE68" s="11"/>
      <c r="AF68" s="11"/>
      <c r="AG68" s="11"/>
      <c r="AH68" s="11"/>
    </row>
    <row r="69" customFormat="false" ht="12.85" hidden="false" customHeight="true" outlineLevel="0" collapsed="false"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"/>
      <c r="S69" s="1"/>
      <c r="T69" s="1"/>
      <c r="U69" s="1"/>
      <c r="V69" s="1"/>
      <c r="W69" s="1"/>
      <c r="X69" s="1"/>
      <c r="Y69" s="1"/>
      <c r="Z69" s="1"/>
      <c r="AA69" s="11"/>
      <c r="AC69" s="11"/>
      <c r="AD69" s="11"/>
      <c r="AE69" s="11"/>
      <c r="AF69" s="11"/>
      <c r="AG69" s="11"/>
      <c r="AH69" s="11"/>
    </row>
    <row r="70" customFormat="false" ht="12.85" hidden="false" customHeight="true" outlineLevel="0" collapsed="false"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" t="s">
        <v>125</v>
      </c>
      <c r="S70" s="68" t="str">
        <f aca="false">C22</f>
        <v>Maaviina</v>
      </c>
      <c r="T70" s="103" t="n">
        <f aca="false">D36</f>
        <v>71.726952028791</v>
      </c>
      <c r="U70" s="103" t="n">
        <f aca="false">E36</f>
        <v>86.892769263525</v>
      </c>
      <c r="V70" s="103" t="str">
        <f aca="false">F36</f>
        <v> - </v>
      </c>
      <c r="W70" s="103" t="str">
        <f aca="false">G36</f>
        <v> - </v>
      </c>
      <c r="X70" s="1"/>
      <c r="Y70" s="1"/>
      <c r="Z70" s="1"/>
      <c r="AA70" s="11"/>
      <c r="AC70" s="11"/>
      <c r="AD70" s="11"/>
      <c r="AE70" s="11"/>
      <c r="AF70" s="11"/>
      <c r="AG70" s="11"/>
      <c r="AH70" s="11"/>
    </row>
    <row r="71" customFormat="false" ht="12.85" hidden="false" customHeight="true" outlineLevel="0" collapsed="false"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"/>
      <c r="S71" s="68"/>
      <c r="T71" s="68"/>
      <c r="U71" s="1"/>
      <c r="X71" s="1"/>
      <c r="Y71" s="1"/>
      <c r="Z71" s="1"/>
      <c r="AC71" s="11"/>
      <c r="AD71" s="11"/>
      <c r="AE71" s="11"/>
      <c r="AF71" s="11"/>
      <c r="AG71" s="11"/>
      <c r="AH71" s="11"/>
    </row>
    <row r="72" customFormat="false" ht="12.85" hidden="false" customHeight="true" outlineLevel="0" collapsed="false"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04" t="s">
        <v>126</v>
      </c>
      <c r="S72" s="20" t="s">
        <v>4</v>
      </c>
      <c r="T72" s="105" t="n">
        <f aca="false">0.00005833*T7^3-0.004429*T7^2-0.4558*T7+967.6</f>
        <v>967.6</v>
      </c>
      <c r="U72" s="105" t="n">
        <f aca="false">0.00005833*V7^3-0.004429*V7^2-0.4558*V7+967.6</f>
        <v>967.6</v>
      </c>
      <c r="V72" s="105" t="n">
        <f aca="false">0.00005833*X7^3-0.004429*X7^2-0.4558*X7+967.6</f>
        <v>967.6</v>
      </c>
      <c r="W72" s="105" t="n">
        <f aca="false">0.00005833*Z7^3-0.004429*Z7^2-0.4558*Z7+967.6</f>
        <v>967.6</v>
      </c>
      <c r="X72" s="1"/>
      <c r="Y72" s="1"/>
      <c r="Z72" s="1"/>
      <c r="AC72" s="11"/>
      <c r="AD72" s="11"/>
      <c r="AE72" s="11"/>
      <c r="AF72" s="11"/>
      <c r="AG72" s="11"/>
      <c r="AH72" s="11"/>
    </row>
    <row r="73" customFormat="false" ht="12.85" hidden="false" customHeight="true" outlineLevel="0" collapsed="false"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06"/>
      <c r="S73" s="20" t="s">
        <v>9</v>
      </c>
      <c r="T73" s="107" t="n">
        <f aca="false">VLOOKUP(T7,$R86:$T114,2)</f>
        <v>999.84</v>
      </c>
      <c r="U73" s="107" t="n">
        <f aca="false">VLOOKUP(V7,$R86:$T114,2)</f>
        <v>999.84</v>
      </c>
      <c r="V73" s="107" t="n">
        <f aca="false">VLOOKUP(X7,$R86:$T114,2)</f>
        <v>999.84</v>
      </c>
      <c r="W73" s="107" t="n">
        <f aca="false">VLOOKUP(Z7,$R86:$T114,2)</f>
        <v>999.84</v>
      </c>
      <c r="X73" s="1"/>
      <c r="Y73" s="1"/>
      <c r="Z73" s="1"/>
      <c r="AC73" s="11"/>
      <c r="AD73" s="11"/>
      <c r="AE73" s="11"/>
      <c r="AF73" s="11"/>
      <c r="AG73" s="11"/>
      <c r="AH73" s="11"/>
    </row>
    <row r="74" customFormat="false" ht="12.85" hidden="false" customHeight="true" outlineLevel="0" collapsed="false">
      <c r="H74" s="11"/>
      <c r="I74" s="11"/>
      <c r="J74" s="11"/>
      <c r="K74" s="11"/>
      <c r="L74" s="11"/>
      <c r="M74" s="11"/>
      <c r="N74" s="11"/>
      <c r="O74" s="11"/>
      <c r="P74" s="11"/>
      <c r="Q74" s="11"/>
      <c r="T74" s="108"/>
      <c r="X74" s="1"/>
      <c r="Y74" s="1"/>
      <c r="Z74" s="1"/>
      <c r="AC74" s="11"/>
      <c r="AD74" s="11"/>
      <c r="AE74" s="11"/>
      <c r="AF74" s="11"/>
      <c r="AG74" s="11"/>
      <c r="AH74" s="11"/>
    </row>
    <row r="75" customFormat="false" ht="12.85" hidden="false" customHeight="true" outlineLevel="0" collapsed="false"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04" t="s">
        <v>127</v>
      </c>
      <c r="S75" s="20" t="s">
        <v>4</v>
      </c>
      <c r="T75" s="109" t="n">
        <f aca="false">(-0.000332*T7^3+0.0137*T7^2-0.358*T7+6.48)/1000</f>
        <v>0.00648</v>
      </c>
      <c r="U75" s="109" t="n">
        <f aca="false">(-0.000332*V7^3+0.0137*V7^2-0.358*V7+6.48)/1000</f>
        <v>0.00648</v>
      </c>
      <c r="V75" s="109" t="n">
        <f aca="false">(-0.000332*X7^3+0.0137*X7^2-0.358*X7+6.48)/1000</f>
        <v>0.00648</v>
      </c>
      <c r="W75" s="109" t="n">
        <f aca="false">(-0.000332*Z7^3+0.0137*Z7^2-0.358*Z7+6.48)/1000</f>
        <v>0.00648</v>
      </c>
      <c r="X75" s="1"/>
      <c r="Y75" s="1"/>
      <c r="Z75" s="1"/>
      <c r="AC75" s="11"/>
      <c r="AD75" s="11"/>
      <c r="AE75" s="11"/>
      <c r="AF75" s="11"/>
      <c r="AG75" s="11"/>
      <c r="AH75" s="11"/>
    </row>
    <row r="76" customFormat="false" ht="12.85" hidden="false" customHeight="true" outlineLevel="0" collapsed="false"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20" t="n">
        <v>0.001002</v>
      </c>
      <c r="S76" s="20" t="s">
        <v>9</v>
      </c>
      <c r="T76" s="109" t="n">
        <f aca="false">0.00000000003301*T7^4 - 0.000000008762*T7^3 + 0.0000009303*T7^2 - 0.00005276*T7 + 0.001748</f>
        <v>0.001748</v>
      </c>
      <c r="U76" s="109" t="n">
        <f aca="false">0.00000000003301*V7^4 - 0.000000008762*V7^3 + 0.0000009303*V7^2 - 0.00005276*V7 + 0.001748</f>
        <v>0.001748</v>
      </c>
      <c r="V76" s="109" t="n">
        <f aca="false">0.00000000003301*X7^4 - 0.000000008762*X7^3 + 0.0000009303*X7^2 - 0.00005276*X7 + 0.001748</f>
        <v>0.001748</v>
      </c>
      <c r="W76" s="109" t="n">
        <f aca="false">0.00000000003301*Z7^4 - 0.000000008762*Z7^3 + 0.0000009303*Z7^2 - 0.00005276*Z7 + 0.001748</f>
        <v>0.001748</v>
      </c>
      <c r="X76" s="1"/>
      <c r="Y76" s="1"/>
      <c r="Z76" s="1"/>
      <c r="AC76" s="11"/>
      <c r="AD76" s="11"/>
      <c r="AE76" s="11"/>
      <c r="AF76" s="11"/>
      <c r="AG76" s="11"/>
      <c r="AH76" s="11"/>
    </row>
    <row r="77" customFormat="false" ht="12.85" hidden="false" customHeight="true" outlineLevel="0" collapsed="false">
      <c r="H77" s="11"/>
      <c r="I77" s="11"/>
      <c r="J77" s="11"/>
      <c r="K77" s="11"/>
      <c r="L77" s="11"/>
      <c r="M77" s="11"/>
      <c r="N77" s="11"/>
      <c r="O77" s="11"/>
      <c r="P77" s="11"/>
      <c r="Q77" s="11"/>
      <c r="T77" s="108"/>
      <c r="X77" s="1"/>
      <c r="Y77" s="1"/>
      <c r="Z77" s="1"/>
      <c r="AC77" s="11"/>
      <c r="AD77" s="11"/>
      <c r="AE77" s="11"/>
      <c r="AF77" s="11"/>
      <c r="AG77" s="11"/>
      <c r="AH77" s="11"/>
    </row>
    <row r="78" customFormat="false" ht="12.85" hidden="false" customHeight="true" outlineLevel="0" collapsed="false"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04" t="s">
        <v>4</v>
      </c>
      <c r="S78" s="110" t="n">
        <v>0.82</v>
      </c>
      <c r="T78" s="111" t="n">
        <f aca="false">$S78</f>
        <v>0.82</v>
      </c>
      <c r="U78" s="111" t="n">
        <f aca="false">$S78</f>
        <v>0.82</v>
      </c>
      <c r="V78" s="111" t="n">
        <f aca="false">$S78</f>
        <v>0.82</v>
      </c>
      <c r="W78" s="111" t="n">
        <f aca="false">$S78</f>
        <v>0.82</v>
      </c>
      <c r="X78" s="1"/>
      <c r="Y78" s="1"/>
      <c r="Z78" s="1"/>
      <c r="AC78" s="11"/>
      <c r="AD78" s="11"/>
      <c r="AE78" s="11"/>
      <c r="AF78" s="11"/>
      <c r="AG78" s="11"/>
      <c r="AH78" s="11"/>
    </row>
    <row r="79" customFormat="false" ht="12.85" hidden="false" customHeight="true" outlineLevel="0" collapsed="false"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06" t="s">
        <v>9</v>
      </c>
      <c r="S79" s="110" t="n">
        <v>0.82</v>
      </c>
      <c r="T79" s="111" t="n">
        <f aca="false">$S79</f>
        <v>0.82</v>
      </c>
      <c r="U79" s="112" t="n">
        <f aca="false">$S79</f>
        <v>0.82</v>
      </c>
      <c r="V79" s="112" t="n">
        <f aca="false">$S79</f>
        <v>0.82</v>
      </c>
      <c r="W79" s="112" t="n">
        <f aca="false">$S79</f>
        <v>0.82</v>
      </c>
      <c r="X79" s="1"/>
      <c r="Y79" s="1"/>
      <c r="Z79" s="1"/>
      <c r="AC79" s="11"/>
      <c r="AD79" s="11"/>
      <c r="AE79" s="11"/>
      <c r="AF79" s="11"/>
      <c r="AG79" s="11"/>
      <c r="AH79" s="11"/>
    </row>
    <row r="80" customFormat="false" ht="12.85" hidden="false" customHeight="true" outlineLevel="0" collapsed="false"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06" t="s">
        <v>128</v>
      </c>
      <c r="S80" s="20" t="str">
        <f aca="false">C22</f>
        <v>Maaviina</v>
      </c>
      <c r="T80" s="113" t="n">
        <f aca="false">VLOOKUP($S80,$R78:$W79,3)</f>
        <v>0.82</v>
      </c>
      <c r="U80" s="112" t="n">
        <f aca="false">VLOOKUP($S80,$R78:$W79,4)</f>
        <v>0.82</v>
      </c>
      <c r="V80" s="112" t="n">
        <f aca="false">VLOOKUP($S80,$R78:$W79,5)</f>
        <v>0.82</v>
      </c>
      <c r="W80" s="112" t="n">
        <f aca="false">VLOOKUP($S80,$R78:$W79,6)</f>
        <v>0.82</v>
      </c>
      <c r="X80" s="1"/>
      <c r="Y80" s="1"/>
      <c r="Z80" s="1"/>
      <c r="AC80" s="11"/>
      <c r="AD80" s="11"/>
      <c r="AE80" s="11"/>
      <c r="AF80" s="11"/>
      <c r="AG80" s="11"/>
      <c r="AH80" s="11"/>
    </row>
    <row r="81" customFormat="false" ht="12.85" hidden="false" customHeight="true" outlineLevel="0" collapsed="false"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"/>
      <c r="S81" s="68"/>
      <c r="T81" s="68"/>
      <c r="U81" s="1"/>
      <c r="V81" s="1"/>
      <c r="W81" s="1"/>
      <c r="X81" s="1"/>
      <c r="Y81" s="1"/>
      <c r="Z81" s="1"/>
      <c r="AC81" s="11"/>
      <c r="AD81" s="11"/>
      <c r="AE81" s="11"/>
      <c r="AF81" s="11"/>
      <c r="AG81" s="11"/>
      <c r="AH81" s="11"/>
    </row>
    <row r="82" customFormat="false" ht="12.85" hidden="false" customHeight="true" outlineLevel="0" collapsed="false"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"/>
      <c r="S82" s="68"/>
      <c r="T82" s="68"/>
      <c r="U82" s="1"/>
      <c r="V82" s="1"/>
      <c r="W82" s="1"/>
      <c r="X82" s="1"/>
      <c r="Y82" s="1"/>
      <c r="Z82" s="1"/>
      <c r="AC82" s="11"/>
      <c r="AD82" s="11"/>
      <c r="AE82" s="11"/>
      <c r="AF82" s="11"/>
      <c r="AG82" s="11"/>
      <c r="AH82" s="11"/>
    </row>
    <row r="83" customFormat="false" ht="12.85" hidden="false" customHeight="true" outlineLevel="0" collapsed="false"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4"/>
      <c r="S83" s="114"/>
      <c r="T83" s="114"/>
      <c r="U83" s="1"/>
      <c r="V83" s="1"/>
      <c r="W83" s="1"/>
      <c r="X83" s="1"/>
      <c r="Y83" s="1"/>
      <c r="Z83" s="1"/>
      <c r="AC83" s="11"/>
      <c r="AD83" s="11"/>
      <c r="AE83" s="11"/>
      <c r="AF83" s="11"/>
      <c r="AG83" s="11"/>
      <c r="AH83" s="11"/>
    </row>
    <row r="84" customFormat="false" ht="12.85" hidden="false" customHeight="true" outlineLevel="0" collapsed="false"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5" t="s">
        <v>129</v>
      </c>
      <c r="S84" s="116" t="s">
        <v>31</v>
      </c>
      <c r="T84" s="117" t="s">
        <v>130</v>
      </c>
      <c r="U84" s="118"/>
      <c r="V84" s="116"/>
      <c r="W84" s="119" t="s">
        <v>131</v>
      </c>
      <c r="X84" s="1"/>
      <c r="Y84" s="1"/>
      <c r="Z84" s="1"/>
      <c r="AC84" s="11"/>
      <c r="AD84" s="11"/>
      <c r="AE84" s="11"/>
      <c r="AF84" s="11"/>
      <c r="AG84" s="11"/>
      <c r="AH84" s="11"/>
    </row>
    <row r="85" customFormat="false" ht="12.85" hidden="false" customHeight="true" outlineLevel="0" collapsed="false"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20" t="s">
        <v>132</v>
      </c>
      <c r="S85" s="68" t="s">
        <v>133</v>
      </c>
      <c r="T85" s="121" t="s">
        <v>134</v>
      </c>
      <c r="U85" s="122" t="s">
        <v>135</v>
      </c>
      <c r="V85" s="123" t="s">
        <v>136</v>
      </c>
      <c r="W85" s="124" t="s">
        <v>136</v>
      </c>
      <c r="X85" s="1"/>
      <c r="Y85" s="1"/>
      <c r="Z85" s="1"/>
      <c r="AC85" s="11"/>
      <c r="AD85" s="11"/>
      <c r="AE85" s="11"/>
      <c r="AF85" s="11"/>
      <c r="AG85" s="11"/>
      <c r="AH85" s="11"/>
    </row>
    <row r="86" customFormat="false" ht="12.85" hidden="false" customHeight="true" outlineLevel="0" collapsed="false"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25" t="n">
        <v>0</v>
      </c>
      <c r="S86" s="74" t="n">
        <v>999.84</v>
      </c>
      <c r="T86" s="126" t="n">
        <v>4.217</v>
      </c>
      <c r="U86" s="122" t="s">
        <v>17</v>
      </c>
      <c r="V86" s="123" t="s">
        <v>35</v>
      </c>
      <c r="W86" s="124" t="s">
        <v>35</v>
      </c>
      <c r="X86" s="1"/>
      <c r="Y86" s="1"/>
      <c r="Z86" s="1"/>
      <c r="AC86" s="11"/>
      <c r="AD86" s="11"/>
      <c r="AE86" s="11"/>
      <c r="AF86" s="11"/>
      <c r="AG86" s="11"/>
      <c r="AH86" s="11"/>
    </row>
    <row r="87" customFormat="false" ht="12.85" hidden="false" customHeight="true" outlineLevel="0" collapsed="false"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25" t="n">
        <v>1</v>
      </c>
      <c r="S87" s="74" t="n">
        <v>999.87</v>
      </c>
      <c r="T87" s="126" t="n">
        <v>4.214</v>
      </c>
      <c r="U87" s="127" t="n">
        <v>0</v>
      </c>
      <c r="V87" s="128" t="n">
        <v>0.00175</v>
      </c>
      <c r="W87" s="129" t="n">
        <f aca="false">0.00000000003301*U87*U87*U87*U87 - 0.000000008762*U87*U87*U87 + 0.0000009303*U87*U87 - 0.00005276*U87 + 0.001748</f>
        <v>0.001748</v>
      </c>
      <c r="X87" s="1"/>
      <c r="Y87" s="1"/>
      <c r="Z87" s="1"/>
      <c r="AC87" s="11"/>
      <c r="AD87" s="11"/>
      <c r="AE87" s="11"/>
      <c r="AF87" s="11"/>
      <c r="AG87" s="11"/>
      <c r="AH87" s="11"/>
    </row>
    <row r="88" customFormat="false" ht="12.85" hidden="false" customHeight="true" outlineLevel="0" collapsed="false"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25" t="n">
        <v>2</v>
      </c>
      <c r="S88" s="74" t="n">
        <v>999.9</v>
      </c>
      <c r="T88" s="126" t="n">
        <v>4.211</v>
      </c>
      <c r="U88" s="127" t="n">
        <v>10</v>
      </c>
      <c r="V88" s="128" t="n">
        <v>0.0013</v>
      </c>
      <c r="W88" s="129" t="n">
        <f aca="false">0.00000000003301*U88*U88*U88*U88 - 0.000000008762*U88*U88*U88 + 0.0000009303*U88*U88 - 0.00005276*U88 + 0.001748</f>
        <v>0.0013049981</v>
      </c>
      <c r="X88" s="1"/>
      <c r="Y88" s="1"/>
      <c r="Z88" s="1"/>
      <c r="AC88" s="11"/>
      <c r="AD88" s="11"/>
      <c r="AE88" s="11"/>
      <c r="AF88" s="11"/>
      <c r="AG88" s="11"/>
      <c r="AH88" s="11"/>
    </row>
    <row r="89" customFormat="false" ht="12.85" hidden="false" customHeight="true" outlineLevel="0" collapsed="false"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25" t="n">
        <v>3</v>
      </c>
      <c r="S89" s="74" t="n">
        <v>999.97</v>
      </c>
      <c r="T89" s="126" t="n">
        <v>4.208</v>
      </c>
      <c r="U89" s="127" t="n">
        <v>20</v>
      </c>
      <c r="V89" s="128" t="n">
        <v>0.001</v>
      </c>
      <c r="W89" s="129" t="n">
        <f aca="false">0.00000000003301*U89*U89*U89*U89 - 0.000000008762*U89*U89*U89 + 0.0000009303*U89*U89 - 0.00005276*U89 + 0.001748</f>
        <v>0.0010001056</v>
      </c>
      <c r="X89" s="1"/>
      <c r="Y89" s="1"/>
      <c r="Z89" s="1"/>
      <c r="AC89" s="11"/>
      <c r="AD89" s="11"/>
      <c r="AE89" s="11"/>
      <c r="AF89" s="11"/>
      <c r="AG89" s="11"/>
      <c r="AH89" s="11"/>
    </row>
    <row r="90" customFormat="false" ht="12.85" hidden="false" customHeight="true" outlineLevel="0" collapsed="false"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25" t="n">
        <v>4</v>
      </c>
      <c r="S90" s="74" t="n">
        <v>1000</v>
      </c>
      <c r="T90" s="126" t="n">
        <v>4.205</v>
      </c>
      <c r="U90" s="127" t="n">
        <v>30</v>
      </c>
      <c r="V90" s="128" t="n">
        <v>0.000797</v>
      </c>
      <c r="W90" s="129" t="n">
        <f aca="false">0.00000000003301*U90*U90*U90*U90 - 0.000000008762*U90*U90*U90 + 0.0000009303*U90*U90 - 0.00005276*U90 + 0.001748</f>
        <v>0.0007926341</v>
      </c>
      <c r="X90" s="1"/>
      <c r="Y90" s="1"/>
      <c r="Z90" s="1"/>
      <c r="AC90" s="11"/>
      <c r="AD90" s="11"/>
      <c r="AE90" s="11"/>
      <c r="AF90" s="11"/>
      <c r="AG90" s="11"/>
      <c r="AH90" s="11"/>
    </row>
    <row r="91" customFormat="false" ht="12.85" hidden="false" customHeight="true" outlineLevel="0" collapsed="false"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25" t="n">
        <v>5</v>
      </c>
      <c r="S91" s="74" t="n">
        <v>999.97</v>
      </c>
      <c r="T91" s="126" t="n">
        <v>4.202</v>
      </c>
      <c r="U91" s="127" t="n">
        <v>40</v>
      </c>
      <c r="V91" s="128" t="n">
        <v>0.000651</v>
      </c>
      <c r="W91" s="129" t="n">
        <f aca="false">0.00000000003301*U91*U91*U91*U91 - 0.000000008762*U91*U91*U91 + 0.0000009303*U91*U91 - 0.00005276*U91 + 0.001748</f>
        <v>0.0006498176</v>
      </c>
      <c r="X91" s="1"/>
      <c r="Y91" s="1"/>
      <c r="Z91" s="1"/>
      <c r="AC91" s="11"/>
      <c r="AD91" s="11"/>
      <c r="AE91" s="11"/>
      <c r="AF91" s="11"/>
      <c r="AG91" s="11"/>
      <c r="AH91" s="11"/>
    </row>
    <row r="92" customFormat="false" ht="12.85" hidden="false" customHeight="true" outlineLevel="0" collapsed="false"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25" t="n">
        <v>10</v>
      </c>
      <c r="S92" s="74" t="n">
        <v>999.7</v>
      </c>
      <c r="T92" s="126" t="n">
        <v>4.192</v>
      </c>
      <c r="U92" s="127" t="n">
        <v>50</v>
      </c>
      <c r="V92" s="128" t="n">
        <v>0.000544</v>
      </c>
      <c r="W92" s="129" t="n">
        <f aca="false">0.00000000003301*U92*U92*U92*U92 - 0.000000008762*U92*U92*U92 + 0.0000009303*U92*U92 - 0.00005276*U92 + 0.001748</f>
        <v>0.0005468125</v>
      </c>
      <c r="X92" s="1"/>
      <c r="Y92" s="1"/>
      <c r="Z92" s="1"/>
      <c r="AC92" s="11"/>
      <c r="AD92" s="11"/>
      <c r="AE92" s="11"/>
      <c r="AF92" s="11"/>
      <c r="AG92" s="11"/>
      <c r="AH92" s="11"/>
    </row>
    <row r="93" customFormat="false" ht="12.85" hidden="false" customHeight="true" outlineLevel="0" collapsed="false"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25" t="n">
        <v>15</v>
      </c>
      <c r="S93" s="74" t="n">
        <v>999.1</v>
      </c>
      <c r="T93" s="126" t="n">
        <v>4.185</v>
      </c>
      <c r="U93" s="127" t="n">
        <v>60</v>
      </c>
      <c r="V93" s="128" t="n">
        <v>0.000463</v>
      </c>
      <c r="W93" s="129" t="n">
        <f aca="false">0.00000000003301*U93*U93*U93*U93 - 0.000000008762*U93*U93*U93 + 0.0000009303*U93*U93 - 0.00005276*U93 + 0.001748</f>
        <v>0.0004666976</v>
      </c>
      <c r="X93" s="1"/>
      <c r="Y93" s="1"/>
      <c r="Z93" s="1"/>
      <c r="AC93" s="11"/>
      <c r="AD93" s="11"/>
      <c r="AE93" s="11"/>
      <c r="AF93" s="11"/>
      <c r="AG93" s="11"/>
      <c r="AH93" s="11"/>
    </row>
    <row r="94" customFormat="false" ht="12.85" hidden="false" customHeight="true" outlineLevel="0" collapsed="false"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25" t="n">
        <v>20</v>
      </c>
      <c r="S94" s="74" t="n">
        <v>998.21</v>
      </c>
      <c r="T94" s="126" t="n">
        <v>4.181</v>
      </c>
      <c r="U94" s="127" t="n">
        <v>70</v>
      </c>
      <c r="V94" s="128" t="n">
        <v>0.0004</v>
      </c>
      <c r="W94" s="129" t="n">
        <f aca="false">0.00000000003301*U94*U94*U94*U94 - 0.000000008762*U94*U94*U94 + 0.0000009303*U94*U94 - 0.00005276*U94 + 0.001748</f>
        <v>0.0004004741</v>
      </c>
      <c r="X94" s="1"/>
      <c r="Y94" s="1"/>
      <c r="Z94" s="1"/>
      <c r="AC94" s="11"/>
      <c r="AD94" s="11"/>
      <c r="AE94" s="11"/>
      <c r="AF94" s="11"/>
      <c r="AG94" s="11"/>
      <c r="AH94" s="11"/>
    </row>
    <row r="95" customFormat="false" ht="12.85" hidden="false" customHeight="true" outlineLevel="0" collapsed="false"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25" t="n">
        <v>25</v>
      </c>
      <c r="S95" s="74" t="n">
        <v>997.05</v>
      </c>
      <c r="T95" s="126" t="n">
        <v>4.179</v>
      </c>
      <c r="U95" s="127" t="n">
        <v>80</v>
      </c>
      <c r="V95" s="128" t="n">
        <v>0.000351</v>
      </c>
      <c r="W95" s="129" t="n">
        <f aca="false">0.00000000003301*U95*U95*U95*U95 - 0.000000008762*U95*U95*U95 + 0.0000009303*U95*U95 - 0.00005276*U95 + 0.001748</f>
        <v>0.000347065600000001</v>
      </c>
      <c r="X95" s="1"/>
      <c r="Y95" s="1"/>
      <c r="Z95" s="1"/>
      <c r="AC95" s="11"/>
      <c r="AD95" s="11"/>
      <c r="AE95" s="11"/>
      <c r="AF95" s="11"/>
      <c r="AG95" s="11"/>
      <c r="AH95" s="11"/>
    </row>
    <row r="96" customFormat="false" ht="12.85" hidden="false" customHeight="true" outlineLevel="0" collapsed="false"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25" t="n">
        <v>30</v>
      </c>
      <c r="S96" s="74" t="n">
        <v>995.65</v>
      </c>
      <c r="T96" s="126" t="n">
        <v>4.177</v>
      </c>
      <c r="U96" s="130" t="n">
        <v>90</v>
      </c>
      <c r="V96" s="131" t="n">
        <v>0.000311</v>
      </c>
      <c r="W96" s="132" t="n">
        <f aca="false">0.00000000003301*U96*U96*U96*U96 - 0.000000008762*U96*U96*U96 + 0.0000009303*U96*U96 - 0.00005276*U96 + 0.001748</f>
        <v>0.000313318100000001</v>
      </c>
      <c r="X96" s="1"/>
      <c r="Y96" s="1"/>
      <c r="Z96" s="1"/>
      <c r="AC96" s="11"/>
      <c r="AD96" s="11"/>
      <c r="AE96" s="11"/>
      <c r="AF96" s="11"/>
      <c r="AG96" s="11"/>
      <c r="AH96" s="11"/>
    </row>
    <row r="97" customFormat="false" ht="12.85" hidden="false" customHeight="true" outlineLevel="0" collapsed="false"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5" t="n">
        <v>35</v>
      </c>
      <c r="S97" s="74" t="n">
        <v>994.03</v>
      </c>
      <c r="T97" s="126" t="n">
        <v>4.177</v>
      </c>
      <c r="U97" s="1"/>
      <c r="X97" s="1"/>
      <c r="Y97" s="1"/>
      <c r="Z97" s="1"/>
      <c r="AC97" s="11"/>
      <c r="AD97" s="11"/>
      <c r="AE97" s="11"/>
      <c r="AF97" s="11"/>
      <c r="AG97" s="11"/>
      <c r="AH97" s="11"/>
    </row>
    <row r="98" customFormat="false" ht="12.85" hidden="false" customHeight="true" outlineLevel="0" collapsed="false"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25" t="n">
        <v>40</v>
      </c>
      <c r="S98" s="74" t="n">
        <v>992.22</v>
      </c>
      <c r="T98" s="126" t="n">
        <v>4.177</v>
      </c>
      <c r="U98" s="1"/>
      <c r="X98" s="1"/>
      <c r="Y98" s="1"/>
      <c r="Z98" s="1"/>
      <c r="AC98" s="11"/>
      <c r="AD98" s="11"/>
      <c r="AE98" s="11"/>
      <c r="AF98" s="11"/>
      <c r="AG98" s="11"/>
      <c r="AH98" s="11"/>
    </row>
    <row r="99" customFormat="false" ht="12.85" hidden="false" customHeight="true" outlineLevel="0" collapsed="false"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25" t="n">
        <v>45</v>
      </c>
      <c r="S99" s="74" t="n">
        <v>990.21</v>
      </c>
      <c r="T99" s="126" t="n">
        <v>4.178</v>
      </c>
      <c r="U99" s="1"/>
      <c r="X99" s="1"/>
      <c r="Y99" s="1"/>
      <c r="Z99" s="1"/>
      <c r="AC99" s="11"/>
      <c r="AD99" s="11"/>
      <c r="AE99" s="11"/>
      <c r="AF99" s="11"/>
      <c r="AG99" s="11"/>
      <c r="AH99" s="11"/>
    </row>
    <row r="100" customFormat="false" ht="12.85" hidden="false" customHeight="true" outlineLevel="0" collapsed="false"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25" t="n">
        <v>50</v>
      </c>
      <c r="S100" s="74" t="n">
        <v>988.04</v>
      </c>
      <c r="T100" s="126" t="n">
        <v>4.18</v>
      </c>
      <c r="U100" s="1"/>
      <c r="X100" s="1"/>
      <c r="Y100" s="1"/>
      <c r="Z100" s="1"/>
      <c r="AC100" s="11"/>
      <c r="AD100" s="11"/>
      <c r="AE100" s="11"/>
      <c r="AF100" s="11"/>
      <c r="AG100" s="11"/>
      <c r="AH100" s="11"/>
    </row>
    <row r="101" customFormat="false" ht="12.85" hidden="false" customHeight="true" outlineLevel="0" collapsed="false"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25" t="n">
        <v>55</v>
      </c>
      <c r="S101" s="74" t="n">
        <v>985.69</v>
      </c>
      <c r="T101" s="126" t="n">
        <v>4.182</v>
      </c>
      <c r="U101" s="1"/>
      <c r="X101" s="1"/>
      <c r="Y101" s="1"/>
      <c r="Z101" s="1"/>
      <c r="AC101" s="11"/>
      <c r="AD101" s="11"/>
      <c r="AE101" s="11"/>
      <c r="AF101" s="11"/>
      <c r="AG101" s="11"/>
      <c r="AH101" s="11"/>
    </row>
    <row r="102" customFormat="false" ht="12.85" hidden="false" customHeight="true" outlineLevel="0" collapsed="false"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25" t="n">
        <v>60</v>
      </c>
      <c r="S102" s="74" t="n">
        <v>983.2</v>
      </c>
      <c r="T102" s="126" t="n">
        <v>4.184</v>
      </c>
      <c r="U102" s="1"/>
      <c r="X102" s="1"/>
      <c r="Y102" s="1"/>
      <c r="Z102" s="1"/>
      <c r="AC102" s="11"/>
      <c r="AD102" s="11"/>
      <c r="AE102" s="11"/>
      <c r="AF102" s="11"/>
      <c r="AG102" s="11"/>
      <c r="AH102" s="11"/>
    </row>
    <row r="103" customFormat="false" ht="12.85" hidden="false" customHeight="true" outlineLevel="0" collapsed="false"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25" t="n">
        <v>65</v>
      </c>
      <c r="S103" s="74" t="n">
        <v>980.55</v>
      </c>
      <c r="T103" s="126" t="n">
        <v>4.187</v>
      </c>
      <c r="U103" s="1"/>
      <c r="X103" s="1"/>
      <c r="Y103" s="1"/>
      <c r="Z103" s="1"/>
      <c r="AC103" s="11"/>
      <c r="AD103" s="11"/>
      <c r="AE103" s="11"/>
      <c r="AF103" s="11"/>
      <c r="AG103" s="11"/>
      <c r="AH103" s="11"/>
    </row>
    <row r="104" customFormat="false" ht="12.85" hidden="false" customHeight="true" outlineLevel="0" collapsed="false"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25" t="n">
        <v>70</v>
      </c>
      <c r="S104" s="74" t="n">
        <v>977.77</v>
      </c>
      <c r="T104" s="126" t="n">
        <v>4.19</v>
      </c>
      <c r="U104" s="1"/>
      <c r="X104" s="1"/>
      <c r="Y104" s="1"/>
      <c r="Z104" s="1"/>
      <c r="AC104" s="11"/>
      <c r="AD104" s="11"/>
      <c r="AE104" s="11"/>
      <c r="AF104" s="11"/>
      <c r="AG104" s="11"/>
      <c r="AH104" s="11"/>
    </row>
    <row r="105" customFormat="false" ht="12.85" hidden="false" customHeight="true" outlineLevel="0" collapsed="false"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25" t="n">
        <v>75</v>
      </c>
      <c r="S105" s="74" t="n">
        <v>974.84</v>
      </c>
      <c r="T105" s="126" t="n">
        <v>4.193</v>
      </c>
      <c r="U105" s="1"/>
      <c r="X105" s="1"/>
      <c r="Y105" s="1"/>
      <c r="Z105" s="1"/>
      <c r="AC105" s="11"/>
      <c r="AD105" s="11"/>
      <c r="AE105" s="11"/>
      <c r="AF105" s="11"/>
      <c r="AG105" s="11"/>
      <c r="AH105" s="11"/>
    </row>
    <row r="106" customFormat="false" ht="12.85" hidden="false" customHeight="true" outlineLevel="0" collapsed="false"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25" t="n">
        <v>80</v>
      </c>
      <c r="S106" s="74" t="n">
        <v>971.79</v>
      </c>
      <c r="T106" s="126" t="n">
        <v>4.197</v>
      </c>
      <c r="U106" s="1"/>
      <c r="X106" s="1"/>
      <c r="Y106" s="1"/>
      <c r="Z106" s="1"/>
      <c r="AC106" s="11"/>
      <c r="AD106" s="11"/>
      <c r="AE106" s="11"/>
      <c r="AF106" s="11"/>
      <c r="AG106" s="11"/>
      <c r="AH106" s="11"/>
    </row>
    <row r="107" customFormat="false" ht="12.85" hidden="false" customHeight="true" outlineLevel="0" collapsed="false"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25" t="n">
        <v>85</v>
      </c>
      <c r="S107" s="74" t="n">
        <v>968.61</v>
      </c>
      <c r="T107" s="126" t="n">
        <v>4.201</v>
      </c>
      <c r="U107" s="1"/>
      <c r="X107" s="1"/>
      <c r="Y107" s="1"/>
      <c r="Z107" s="1"/>
      <c r="AC107" s="11"/>
      <c r="AD107" s="11"/>
      <c r="AE107" s="11"/>
      <c r="AF107" s="11"/>
      <c r="AG107" s="11"/>
      <c r="AH107" s="11"/>
    </row>
    <row r="108" customFormat="false" ht="12.85" hidden="false" customHeight="true" outlineLevel="0" collapsed="false"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25" t="n">
        <v>90</v>
      </c>
      <c r="S108" s="74" t="n">
        <v>965.31</v>
      </c>
      <c r="T108" s="126" t="n">
        <v>4.206</v>
      </c>
      <c r="U108" s="1"/>
      <c r="X108" s="1"/>
      <c r="Y108" s="1"/>
      <c r="Z108" s="1"/>
      <c r="AC108" s="11"/>
      <c r="AD108" s="11"/>
      <c r="AE108" s="11"/>
      <c r="AF108" s="11"/>
      <c r="AG108" s="11"/>
      <c r="AH108" s="11"/>
    </row>
    <row r="109" customFormat="false" ht="12.85" hidden="false" customHeight="true" outlineLevel="0" collapsed="false"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25" t="n">
        <v>95</v>
      </c>
      <c r="S109" s="74" t="n">
        <v>961.89</v>
      </c>
      <c r="T109" s="126" t="n">
        <v>4.211</v>
      </c>
      <c r="U109" s="1"/>
      <c r="X109" s="1"/>
      <c r="Y109" s="1"/>
      <c r="Z109" s="1"/>
      <c r="AC109" s="11"/>
      <c r="AD109" s="11"/>
      <c r="AE109" s="11"/>
      <c r="AF109" s="11"/>
      <c r="AG109" s="11"/>
      <c r="AH109" s="11"/>
    </row>
    <row r="110" customFormat="false" ht="12.85" hidden="false" customHeight="true" outlineLevel="0" collapsed="false"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25" t="n">
        <v>100</v>
      </c>
      <c r="S110" s="74" t="n">
        <v>958.41</v>
      </c>
      <c r="T110" s="126" t="n">
        <v>4.216</v>
      </c>
      <c r="U110" s="1"/>
      <c r="X110" s="1"/>
      <c r="Y110" s="1"/>
      <c r="Z110" s="1"/>
      <c r="AC110" s="11"/>
      <c r="AD110" s="11"/>
      <c r="AE110" s="11"/>
      <c r="AF110" s="11"/>
      <c r="AG110" s="11"/>
      <c r="AH110" s="11"/>
    </row>
    <row r="111" customFormat="false" ht="12.85" hidden="false" customHeight="true" outlineLevel="0" collapsed="false"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25" t="n">
        <v>105</v>
      </c>
      <c r="S111" s="74" t="n">
        <v>954.67</v>
      </c>
      <c r="T111" s="126" t="n">
        <v>4.223</v>
      </c>
      <c r="U111" s="1"/>
      <c r="X111" s="1"/>
      <c r="Y111" s="1"/>
      <c r="Z111" s="1"/>
      <c r="AC111" s="11"/>
      <c r="AD111" s="11"/>
      <c r="AE111" s="11"/>
      <c r="AF111" s="11"/>
      <c r="AG111" s="11"/>
      <c r="AH111" s="11"/>
    </row>
    <row r="112" customFormat="false" ht="12.85" hidden="false" customHeight="true" outlineLevel="0" collapsed="false"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25" t="n">
        <v>110</v>
      </c>
      <c r="S112" s="74" t="n">
        <v>950.85</v>
      </c>
      <c r="T112" s="126" t="n">
        <v>4.23</v>
      </c>
      <c r="U112" s="1"/>
      <c r="X112" s="1"/>
      <c r="Y112" s="1"/>
      <c r="Z112" s="1"/>
      <c r="AC112" s="11"/>
      <c r="AD112" s="11"/>
      <c r="AE112" s="11"/>
      <c r="AF112" s="11"/>
      <c r="AG112" s="11"/>
      <c r="AH112" s="11"/>
    </row>
    <row r="113" customFormat="false" ht="12.85" hidden="false" customHeight="true" outlineLevel="0" collapsed="false"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25" t="n">
        <v>115</v>
      </c>
      <c r="S113" s="74" t="n">
        <v>946.95</v>
      </c>
      <c r="T113" s="126" t="n">
        <v>4.237</v>
      </c>
      <c r="U113" s="1"/>
      <c r="X113" s="1"/>
      <c r="Y113" s="1"/>
      <c r="Z113" s="1"/>
      <c r="AC113" s="11"/>
      <c r="AD113" s="11"/>
      <c r="AE113" s="11"/>
      <c r="AF113" s="11"/>
      <c r="AG113" s="11"/>
      <c r="AH113" s="11"/>
    </row>
    <row r="114" customFormat="false" ht="12.85" hidden="false" customHeight="true" outlineLevel="0" collapsed="false"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33" t="n">
        <v>120</v>
      </c>
      <c r="S114" s="134" t="n">
        <v>942.9</v>
      </c>
      <c r="T114" s="135" t="n">
        <v>4.245</v>
      </c>
      <c r="X114" s="1"/>
      <c r="Y114" s="1"/>
      <c r="Z114" s="1"/>
      <c r="AC114" s="11"/>
      <c r="AD114" s="11"/>
      <c r="AE114" s="11"/>
      <c r="AF114" s="11"/>
      <c r="AG114" s="11"/>
      <c r="AH114" s="11"/>
    </row>
  </sheetData>
  <sheetProtection sheet="true" objects="true" scenarios="true" selectLockedCells="true"/>
  <mergeCells count="21">
    <mergeCell ref="B2:G2"/>
    <mergeCell ref="B3:G3"/>
    <mergeCell ref="B4:E4"/>
    <mergeCell ref="F4:G4"/>
    <mergeCell ref="B5:G5"/>
    <mergeCell ref="B7:D7"/>
    <mergeCell ref="F9:G12"/>
    <mergeCell ref="B10:C10"/>
    <mergeCell ref="B11:C11"/>
    <mergeCell ref="B15:C15"/>
    <mergeCell ref="B21:D21"/>
    <mergeCell ref="B34:C34"/>
    <mergeCell ref="B37:C37"/>
    <mergeCell ref="D37:G37"/>
    <mergeCell ref="B38:C38"/>
    <mergeCell ref="D38:G38"/>
    <mergeCell ref="D39:G39"/>
    <mergeCell ref="D40:G40"/>
    <mergeCell ref="D41:G41"/>
    <mergeCell ref="B43:B46"/>
    <mergeCell ref="R83:T83"/>
  </mergeCells>
  <dataValidations count="5">
    <dataValidation allowBlank="true" errorStyle="stop" operator="equal" prompt="Laskurilla on tarkoituksena selvittää maakeruupiirissä syntyvä painehäviö.&#10;Selvitä se reitti, mitä pitkin maalämpökoneelta lähtevä maaviina &#10;joutuu taivaltamaan lämmönhakumatkallaan. &#10;Laskurissa ei huomioida mitään putkenosia, &#10;kulmakappaleita, haaroittim" promptTitle="OHJE" showDropDown="false" showErrorMessage="true" showInputMessage="true" sqref="B6" type="none">
      <formula1>0</formula1>
      <formula2>0</formula2>
    </dataValidation>
    <dataValidation allowBlank="false" errorStyle="stop" operator="equal" prompt="Valitse&#10;- Maaviina&#10;- Vesi" promptTitle="VALITSE" showDropDown="false" showErrorMessage="true" showInputMessage="true" sqref="C22" type="list">
      <formula1>"Maaviina,Vesi"</formula1>
      <formula2>0</formula2>
    </dataValidation>
    <dataValidation allowBlank="false" errorStyle="stop" operator="equal" prompt="Valitse&#10;nesteen &#10;lämpötila&#10;listalta" promptTitle="LÄMPÖTILA" showDropDown="false" showErrorMessage="true" showInputMessage="true" sqref="D22" type="list">
      <formula1>"-5,-4,-3,-2,-1,0,1,2,3,4,5,6,7,8,9,10,11,12,13,14,15,16,17,18,19,20,30,40,50"</formula1>
      <formula2>0</formula2>
    </dataValidation>
    <dataValidation allowBlank="false" errorStyle="stop" operator="equal" prompt="Montako putkea &#10;tässä osuudessa&#10;on rinnakkain!" promptTitle="Valitse" showDropDown="false" showErrorMessage="true" showInputMessage="true" sqref="D25:G25" type="list">
      <formula1>"1,2,3,4,5,6,7,8,9,10,11,12,13,14,15,16,17,18,19,20,21,22,23,24,25"</formula1>
      <formula2>0</formula2>
    </dataValidation>
    <dataValidation allowBlank="false" errorStyle="stop" operator="equal" prompt="Valitse putkityyppi" promptTitle="Valitse putki" showDropDown="false" showErrorMessage="true" showInputMessage="true" sqref="D26:G26" type="list">
      <formula1>"32x2.0,32x3.0,40x2.4,40x2.5,40x3.7,45x2.4,45x2.7,45x3.0,50x2.4,50x3.0,50x4.6,63x3.8,63x5.8,GeoPipeM32,Oma-1,Oma-2,Oma-3"</formula1>
      <formula2>0</formula2>
    </dataValidation>
  </dataValidations>
  <printOptions headings="false" gridLines="false" gridLinesSet="true" horizontalCentered="false" verticalCentered="false"/>
  <pageMargins left="0.924305555555556" right="0.552083333333333" top="0.7875" bottom="0.7875" header="0.511811023622047" footer="0.511811023622047"/>
  <pageSetup paperSize="9" scale="9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2044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2017-01-14T18:32:19Z</dcterms:created>
  <dc:creator>Paavo Ingalsuo</dc:creator>
  <dc:description/>
  <dc:language>fi-FI</dc:language>
  <cp:lastModifiedBy/>
  <dcterms:modified xsi:type="dcterms:W3CDTF">2024-10-21T19:38:30Z</dcterms:modified>
  <cp:revision>257</cp:revision>
  <dc:subject/>
  <dc:title/>
</cp:coreProperties>
</file>